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45" yWindow="120" windowWidth="14430" windowHeight="11940" activeTab="4"/>
  </bookViews>
  <sheets>
    <sheet name="по детям" sheetId="1" r:id="rId1"/>
    <sheet name="малокомпл" sheetId="2" r:id="rId2"/>
    <sheet name="вечерние" sheetId="3" r:id="rId3"/>
    <sheet name="Свод" sheetId="4" r:id="rId4"/>
    <sheet name="Свод по районам" sheetId="5" r:id="rId5"/>
  </sheets>
  <definedNames>
    <definedName name="_xlnm._FilterDatabase" localSheetId="1" hidden="1">малокомпл!$A$13:$AI$241</definedName>
    <definedName name="_xlnm._FilterDatabase" localSheetId="0" hidden="1">'по детям'!$A$17:$AQ$230</definedName>
    <definedName name="Z_4133D4E7_E8A6_4C76_8386_CAD92A178FB1_.wvu.Cols" localSheetId="4" hidden="1">'Свод по районам'!$D:$D</definedName>
    <definedName name="Z_4133D4E7_E8A6_4C76_8386_CAD92A178FB1_.wvu.FilterData" localSheetId="1" hidden="1">малокомпл!$A$13:$AI$241</definedName>
    <definedName name="Z_4133D4E7_E8A6_4C76_8386_CAD92A178FB1_.wvu.FilterData" localSheetId="0" hidden="1">'по детям'!$A$17:$AN$230</definedName>
    <definedName name="Z_9228B08A_B20B_4F94_9339_CB4FE4B2BF24_.wvu.FilterData" localSheetId="1" hidden="1">малокомпл!$A$13:$AI$241</definedName>
    <definedName name="Z_E6CA5BE8_E4DB_45B9_BD02_6D0572E660A3_.wvu.Cols" localSheetId="4" hidden="1">'Свод по районам'!$D:$D</definedName>
    <definedName name="Z_E6CA5BE8_E4DB_45B9_BD02_6D0572E660A3_.wvu.FilterData" localSheetId="1" hidden="1">малокомпл!$A$13:$AI$241</definedName>
    <definedName name="Z_E6CA5BE8_E4DB_45B9_BD02_6D0572E660A3_.wvu.FilterData" localSheetId="0" hidden="1">'по детям'!$A$17:$AN$230</definedName>
  </definedNames>
  <calcPr calcId="145621"/>
  <customWorkbookViews>
    <customWorkbookView name="Виктория Александровна Цыденжапова - Личное представление" guid="{4133D4E7-E8A6-4C76-8386-CAD92A178FB1}" mergeInterval="0" personalView="1" maximized="1" windowWidth="1860" windowHeight="838" activeSheetId="5"/>
    <customWorkbookView name="Наталья Александровна Кирикова - Личное представление" guid="{E6CA5BE8-E4DB-45B9-BD02-6D0572E660A3}" mergeInterval="0" personalView="1" maximized="1" windowWidth="1916" windowHeight="814" activeSheetId="1" showComments="commIndAndComment"/>
  </customWorkbookViews>
</workbook>
</file>

<file path=xl/calcChain.xml><?xml version="1.0" encoding="utf-8"?>
<calcChain xmlns="http://schemas.openxmlformats.org/spreadsheetml/2006/main">
  <c r="Q29" i="5" l="1"/>
  <c r="P29" i="5"/>
  <c r="O29" i="5"/>
  <c r="K29" i="5"/>
  <c r="L29" i="5"/>
  <c r="M29" i="5"/>
  <c r="AG37" i="3" l="1"/>
  <c r="AG36" i="3"/>
  <c r="AG35" i="3"/>
  <c r="AG34" i="3"/>
  <c r="AG33" i="3"/>
  <c r="AG32" i="3"/>
  <c r="AG31" i="3"/>
  <c r="AG30" i="3"/>
  <c r="U29" i="3"/>
  <c r="AN18" i="1" l="1"/>
  <c r="F240" i="2" l="1"/>
  <c r="E6" i="5" l="1"/>
  <c r="G240" i="2"/>
  <c r="G10" i="1" l="1"/>
  <c r="AG10" i="3" l="1"/>
  <c r="AH10" i="3"/>
  <c r="T10" i="3"/>
  <c r="S10" i="3"/>
  <c r="D10" i="3"/>
  <c r="E10" i="3"/>
  <c r="AM10" i="3" l="1"/>
  <c r="G10" i="3"/>
  <c r="K10" i="3" s="1"/>
  <c r="W10" i="3"/>
  <c r="AA10" i="3" s="1"/>
  <c r="AE152" i="2"/>
  <c r="K152" i="2"/>
  <c r="O152" i="2"/>
  <c r="G152" i="2"/>
  <c r="AE76" i="2"/>
  <c r="O76" i="2"/>
  <c r="K76" i="2"/>
  <c r="G76" i="2"/>
  <c r="D27" i="4" l="1"/>
  <c r="D26" i="4"/>
  <c r="I29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29" i="5"/>
  <c r="F213" i="1"/>
  <c r="G224" i="1"/>
  <c r="H224" i="1"/>
  <c r="I224" i="1"/>
  <c r="K224" i="1"/>
  <c r="L224" i="1"/>
  <c r="M224" i="1"/>
  <c r="O224" i="1"/>
  <c r="P224" i="1"/>
  <c r="Q224" i="1"/>
  <c r="X224" i="1"/>
  <c r="D224" i="1"/>
  <c r="E224" i="1"/>
  <c r="C224" i="1"/>
  <c r="E29" i="5" l="1"/>
  <c r="D17" i="4"/>
  <c r="D7" i="4"/>
  <c r="AG12" i="3" l="1"/>
  <c r="D11" i="1" l="1"/>
  <c r="R12" i="1"/>
  <c r="U8" i="2"/>
  <c r="R10" i="1"/>
  <c r="D11" i="3"/>
  <c r="S11" i="3"/>
  <c r="E9" i="2"/>
  <c r="D12" i="1"/>
  <c r="E7" i="2"/>
  <c r="U9" i="2"/>
  <c r="S12" i="3"/>
  <c r="AG11" i="3"/>
  <c r="R11" i="1"/>
  <c r="U7" i="2"/>
  <c r="D12" i="3"/>
  <c r="X38" i="3"/>
  <c r="E8" i="2" l="1"/>
  <c r="T38" i="3"/>
  <c r="T39" i="3" s="1"/>
  <c r="T40" i="3" s="1"/>
  <c r="M38" i="3"/>
  <c r="L38" i="3"/>
  <c r="J38" i="3"/>
  <c r="I38" i="3"/>
  <c r="G38" i="3"/>
  <c r="F38" i="3"/>
  <c r="D38" i="3"/>
  <c r="C38" i="3"/>
  <c r="AA37" i="3"/>
  <c r="N37" i="3"/>
  <c r="K37" i="3"/>
  <c r="H37" i="3"/>
  <c r="E37" i="3"/>
  <c r="AA36" i="3"/>
  <c r="N36" i="3"/>
  <c r="K36" i="3"/>
  <c r="H36" i="3"/>
  <c r="E36" i="3"/>
  <c r="AA35" i="3"/>
  <c r="N35" i="3"/>
  <c r="K35" i="3"/>
  <c r="H35" i="3"/>
  <c r="E35" i="3"/>
  <c r="AA34" i="3"/>
  <c r="N34" i="3"/>
  <c r="K34" i="3"/>
  <c r="H34" i="3"/>
  <c r="E34" i="3"/>
  <c r="AA33" i="3"/>
  <c r="N33" i="3"/>
  <c r="K33" i="3"/>
  <c r="H33" i="3"/>
  <c r="E33" i="3"/>
  <c r="AA32" i="3"/>
  <c r="N32" i="3"/>
  <c r="K32" i="3"/>
  <c r="H32" i="3"/>
  <c r="E32" i="3"/>
  <c r="AA31" i="3"/>
  <c r="N31" i="3"/>
  <c r="K31" i="3"/>
  <c r="H31" i="3"/>
  <c r="E31" i="3"/>
  <c r="AA30" i="3"/>
  <c r="N30" i="3"/>
  <c r="K30" i="3"/>
  <c r="H30" i="3"/>
  <c r="E30" i="3"/>
  <c r="V29" i="3"/>
  <c r="AA28" i="3"/>
  <c r="N28" i="3"/>
  <c r="K28" i="3"/>
  <c r="H28" i="3"/>
  <c r="E28" i="3"/>
  <c r="AA27" i="3"/>
  <c r="N27" i="3"/>
  <c r="K27" i="3"/>
  <c r="H27" i="3"/>
  <c r="E27" i="3"/>
  <c r="AA26" i="3"/>
  <c r="N26" i="3"/>
  <c r="K26" i="3"/>
  <c r="H26" i="3"/>
  <c r="E26" i="3"/>
  <c r="AA25" i="3"/>
  <c r="N25" i="3"/>
  <c r="K25" i="3"/>
  <c r="H25" i="3"/>
  <c r="E25" i="3"/>
  <c r="AA24" i="3"/>
  <c r="N24" i="3"/>
  <c r="K24" i="3"/>
  <c r="H24" i="3"/>
  <c r="E24" i="3"/>
  <c r="AA23" i="3"/>
  <c r="N23" i="3"/>
  <c r="K23" i="3"/>
  <c r="H23" i="3"/>
  <c r="E23" i="3"/>
  <c r="AA22" i="3"/>
  <c r="N22" i="3"/>
  <c r="K22" i="3"/>
  <c r="H22" i="3"/>
  <c r="E22" i="3"/>
  <c r="AA21" i="3"/>
  <c r="N21" i="3"/>
  <c r="K21" i="3"/>
  <c r="H21" i="3"/>
  <c r="E21" i="3"/>
  <c r="AA20" i="3"/>
  <c r="N20" i="3"/>
  <c r="K20" i="3"/>
  <c r="H20" i="3"/>
  <c r="E20" i="3"/>
  <c r="AA19" i="3"/>
  <c r="N19" i="3"/>
  <c r="K19" i="3"/>
  <c r="H19" i="3"/>
  <c r="E19" i="3"/>
  <c r="AA18" i="3"/>
  <c r="N18" i="3"/>
  <c r="K18" i="3"/>
  <c r="H18" i="3"/>
  <c r="E18" i="3"/>
  <c r="AA17" i="3"/>
  <c r="N17" i="3"/>
  <c r="K17" i="3"/>
  <c r="H17" i="3"/>
  <c r="E17" i="3"/>
  <c r="AA16" i="3"/>
  <c r="N16" i="3"/>
  <c r="K16" i="3"/>
  <c r="H16" i="3"/>
  <c r="E16" i="3"/>
  <c r="AH12" i="3"/>
  <c r="AM12" i="3" s="1"/>
  <c r="T12" i="3"/>
  <c r="W12" i="3"/>
  <c r="AA12" i="3" s="1"/>
  <c r="E12" i="3"/>
  <c r="G12" i="3"/>
  <c r="K12" i="3" s="1"/>
  <c r="AH11" i="3"/>
  <c r="AM11" i="3" s="1"/>
  <c r="W11" i="3"/>
  <c r="AA11" i="3" s="1"/>
  <c r="R11" i="3"/>
  <c r="T11" i="3" s="1"/>
  <c r="G11" i="3"/>
  <c r="K11" i="3" s="1"/>
  <c r="C11" i="3"/>
  <c r="E11" i="3" s="1"/>
  <c r="N38" i="3" l="1"/>
  <c r="W29" i="3"/>
  <c r="E38" i="3"/>
  <c r="D18" i="4" s="1"/>
  <c r="AA38" i="3"/>
  <c r="H38" i="3"/>
  <c r="AC35" i="3"/>
  <c r="AC31" i="3"/>
  <c r="AC27" i="3"/>
  <c r="AC23" i="3"/>
  <c r="AC19" i="3"/>
  <c r="AC36" i="3"/>
  <c r="AC32" i="3"/>
  <c r="AC28" i="3"/>
  <c r="AC24" i="3"/>
  <c r="AC20" i="3"/>
  <c r="AC16" i="3"/>
  <c r="AG16" i="3" s="1"/>
  <c r="AC33" i="3"/>
  <c r="AC25" i="3"/>
  <c r="AC17" i="3"/>
  <c r="AC37" i="3"/>
  <c r="AC21" i="3"/>
  <c r="AC34" i="3"/>
  <c r="AC30" i="3"/>
  <c r="AC26" i="3"/>
  <c r="AC22" i="3"/>
  <c r="AC18" i="3"/>
  <c r="K38" i="3"/>
  <c r="AE134" i="1"/>
  <c r="AB154" i="2"/>
  <c r="R19" i="1"/>
  <c r="R20" i="1"/>
  <c r="R22" i="1"/>
  <c r="R21" i="1"/>
  <c r="R24" i="1"/>
  <c r="R25" i="1"/>
  <c r="R23" i="1"/>
  <c r="R26" i="1"/>
  <c r="R27" i="1"/>
  <c r="R28" i="1"/>
  <c r="R29" i="1"/>
  <c r="R30" i="1"/>
  <c r="R31" i="1"/>
  <c r="R32" i="1"/>
  <c r="R33" i="1"/>
  <c r="R39" i="1"/>
  <c r="R36" i="1"/>
  <c r="R37" i="1"/>
  <c r="R38" i="1"/>
  <c r="R40" i="1"/>
  <c r="R34" i="1"/>
  <c r="R35" i="1"/>
  <c r="R44" i="1"/>
  <c r="R41" i="1"/>
  <c r="R42" i="1"/>
  <c r="R45" i="1"/>
  <c r="R43" i="1"/>
  <c r="R62" i="1"/>
  <c r="R56" i="1"/>
  <c r="R49" i="1"/>
  <c r="R57" i="1"/>
  <c r="R52" i="1"/>
  <c r="R53" i="1"/>
  <c r="R61" i="1"/>
  <c r="R54" i="1"/>
  <c r="R50" i="1"/>
  <c r="R60" i="1"/>
  <c r="R59" i="1"/>
  <c r="R48" i="1"/>
  <c r="R58" i="1"/>
  <c r="R55" i="1"/>
  <c r="R46" i="1"/>
  <c r="R51" i="1"/>
  <c r="R47" i="1"/>
  <c r="R67" i="1"/>
  <c r="R65" i="1"/>
  <c r="R68" i="1"/>
  <c r="R64" i="1"/>
  <c r="R66" i="1"/>
  <c r="R63" i="1"/>
  <c r="R76" i="1"/>
  <c r="R70" i="1"/>
  <c r="R69" i="1"/>
  <c r="R74" i="1"/>
  <c r="R75" i="1"/>
  <c r="R72" i="1"/>
  <c r="R71" i="1"/>
  <c r="R73" i="1"/>
  <c r="R85" i="1"/>
  <c r="R88" i="1"/>
  <c r="R87" i="1"/>
  <c r="R89" i="1"/>
  <c r="R77" i="1"/>
  <c r="R84" i="1"/>
  <c r="R86" i="1"/>
  <c r="R83" i="1"/>
  <c r="R82" i="1"/>
  <c r="R79" i="1"/>
  <c r="R78" i="1"/>
  <c r="R81" i="1"/>
  <c r="R80" i="1"/>
  <c r="R91" i="1"/>
  <c r="R90" i="1"/>
  <c r="R92" i="1"/>
  <c r="R93" i="1"/>
  <c r="R96" i="1"/>
  <c r="R94" i="1"/>
  <c r="R95" i="1"/>
  <c r="R98" i="1"/>
  <c r="R97" i="1"/>
  <c r="R105" i="1"/>
  <c r="R107" i="1"/>
  <c r="R108" i="1"/>
  <c r="R106" i="1"/>
  <c r="R104" i="1"/>
  <c r="R109" i="1"/>
  <c r="R103" i="1"/>
  <c r="R102" i="1"/>
  <c r="R99" i="1"/>
  <c r="R101" i="1"/>
  <c r="R100" i="1"/>
  <c r="R111" i="1"/>
  <c r="R110" i="1"/>
  <c r="R112" i="1"/>
  <c r="R115" i="1"/>
  <c r="R114" i="1"/>
  <c r="R113" i="1"/>
  <c r="R116" i="1"/>
  <c r="R117" i="1"/>
  <c r="R119" i="1"/>
  <c r="R118" i="1"/>
  <c r="R121" i="1"/>
  <c r="R120" i="1"/>
  <c r="R122" i="1"/>
  <c r="R127" i="1"/>
  <c r="R130" i="1"/>
  <c r="R132" i="1"/>
  <c r="R124" i="1"/>
  <c r="R125" i="1"/>
  <c r="R128" i="1"/>
  <c r="R131" i="1"/>
  <c r="R129" i="1"/>
  <c r="R123" i="1"/>
  <c r="R126" i="1"/>
  <c r="R133" i="1"/>
  <c r="R134" i="1"/>
  <c r="R135" i="1"/>
  <c r="R145" i="1"/>
  <c r="R140" i="1"/>
  <c r="R144" i="1"/>
  <c r="R143" i="1"/>
  <c r="R142" i="1"/>
  <c r="R146" i="1"/>
  <c r="R139" i="1"/>
  <c r="R138" i="1"/>
  <c r="R141" i="1"/>
  <c r="R136" i="1"/>
  <c r="R137" i="1"/>
  <c r="R151" i="1"/>
  <c r="R149" i="1"/>
  <c r="R148" i="1"/>
  <c r="R150" i="1"/>
  <c r="R147" i="1"/>
  <c r="R154" i="1"/>
  <c r="R152" i="1"/>
  <c r="R156" i="1"/>
  <c r="R159" i="1"/>
  <c r="R157" i="1"/>
  <c r="R158" i="1"/>
  <c r="R155" i="1"/>
  <c r="R153" i="1"/>
  <c r="R160" i="1"/>
  <c r="R161" i="1"/>
  <c r="R162" i="1"/>
  <c r="R163" i="1"/>
  <c r="R167" i="1"/>
  <c r="R168" i="1"/>
  <c r="R164" i="1"/>
  <c r="R165" i="1"/>
  <c r="R166" i="1"/>
  <c r="R198" i="1"/>
  <c r="R200" i="1"/>
  <c r="R184" i="1"/>
  <c r="R214" i="1"/>
  <c r="R173" i="1"/>
  <c r="R192" i="1"/>
  <c r="R181" i="1"/>
  <c r="R182" i="1"/>
  <c r="R196" i="1"/>
  <c r="R187" i="1"/>
  <c r="R180" i="1"/>
  <c r="R204" i="1"/>
  <c r="R219" i="1"/>
  <c r="R191" i="1"/>
  <c r="R207" i="1"/>
  <c r="R218" i="1"/>
  <c r="R177" i="1"/>
  <c r="R202" i="1"/>
  <c r="R176" i="1"/>
  <c r="R194" i="1"/>
  <c r="R220" i="1"/>
  <c r="R178" i="1"/>
  <c r="R193" i="1"/>
  <c r="R197" i="1"/>
  <c r="R172" i="1"/>
  <c r="R170" i="1"/>
  <c r="R175" i="1"/>
  <c r="R169" i="1"/>
  <c r="R212" i="1"/>
  <c r="R209" i="1"/>
  <c r="R208" i="1"/>
  <c r="R179" i="1"/>
  <c r="R188" i="1"/>
  <c r="R171" i="1"/>
  <c r="R223" i="1"/>
  <c r="R222" i="1"/>
  <c r="R213" i="1"/>
  <c r="R183" i="1"/>
  <c r="R216" i="1"/>
  <c r="R174" i="1"/>
  <c r="R201" i="1"/>
  <c r="R186" i="1"/>
  <c r="R189" i="1"/>
  <c r="R210" i="1"/>
  <c r="R205" i="1"/>
  <c r="R211" i="1"/>
  <c r="R195" i="1"/>
  <c r="R190" i="1"/>
  <c r="R206" i="1"/>
  <c r="R203" i="1"/>
  <c r="R217" i="1"/>
  <c r="R199" i="1"/>
  <c r="R185" i="1"/>
  <c r="R221" i="1"/>
  <c r="R215" i="1"/>
  <c r="R18" i="1"/>
  <c r="R224" i="1" l="1"/>
  <c r="AE224" i="1"/>
  <c r="R24" i="3"/>
  <c r="R26" i="3"/>
  <c r="R35" i="3"/>
  <c r="AE34" i="3"/>
  <c r="AE25" i="3"/>
  <c r="AG25" i="3"/>
  <c r="AE24" i="3"/>
  <c r="AG24" i="3"/>
  <c r="AE19" i="3"/>
  <c r="AG19" i="3"/>
  <c r="AE35" i="3"/>
  <c r="AE22" i="3"/>
  <c r="AG22" i="3"/>
  <c r="AE21" i="3"/>
  <c r="AG21" i="3"/>
  <c r="AE33" i="3"/>
  <c r="AE28" i="3"/>
  <c r="AG28" i="3"/>
  <c r="AE23" i="3"/>
  <c r="AG23" i="3"/>
  <c r="R16" i="3"/>
  <c r="AE26" i="3"/>
  <c r="AG26" i="3"/>
  <c r="AE37" i="3"/>
  <c r="AE32" i="3"/>
  <c r="AE27" i="3"/>
  <c r="AG27" i="3"/>
  <c r="AE30" i="3"/>
  <c r="AE17" i="3"/>
  <c r="AG17" i="3"/>
  <c r="AE20" i="3"/>
  <c r="AG20" i="3"/>
  <c r="AE36" i="3"/>
  <c r="AE31" i="3"/>
  <c r="AE18" i="3"/>
  <c r="AG18" i="3"/>
  <c r="E40" i="3"/>
  <c r="T41" i="3" s="1"/>
  <c r="D8" i="4"/>
  <c r="R18" i="3"/>
  <c r="S18" i="3" s="1"/>
  <c r="U18" i="3" s="1"/>
  <c r="R36" i="3"/>
  <c r="R31" i="3"/>
  <c r="R21" i="3"/>
  <c r="R25" i="3"/>
  <c r="S25" i="3" s="1"/>
  <c r="U25" i="3" s="1"/>
  <c r="R20" i="3"/>
  <c r="S20" i="3" s="1"/>
  <c r="U20" i="3" s="1"/>
  <c r="R22" i="3"/>
  <c r="S22" i="3" s="1"/>
  <c r="U22" i="3" s="1"/>
  <c r="R30" i="3"/>
  <c r="R33" i="3"/>
  <c r="R19" i="3"/>
  <c r="S19" i="3" s="1"/>
  <c r="U19" i="3" s="1"/>
  <c r="R34" i="3"/>
  <c r="R17" i="3"/>
  <c r="S17" i="3" s="1"/>
  <c r="U17" i="3" s="1"/>
  <c r="R37" i="3"/>
  <c r="AE16" i="3"/>
  <c r="AC38" i="3"/>
  <c r="R32" i="3"/>
  <c r="R28" i="3"/>
  <c r="S28" i="3" s="1"/>
  <c r="U28" i="3" s="1"/>
  <c r="R27" i="3"/>
  <c r="S27" i="3" s="1"/>
  <c r="U27" i="3" s="1"/>
  <c r="R23" i="3"/>
  <c r="S23" i="3" s="1"/>
  <c r="U23" i="3" s="1"/>
  <c r="L238" i="2"/>
  <c r="M238" i="2"/>
  <c r="N238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14" i="2"/>
  <c r="N19" i="1"/>
  <c r="N20" i="1"/>
  <c r="N22" i="1"/>
  <c r="N21" i="1"/>
  <c r="N24" i="1"/>
  <c r="N25" i="1"/>
  <c r="N23" i="1"/>
  <c r="N26" i="1"/>
  <c r="N27" i="1"/>
  <c r="N28" i="1"/>
  <c r="N29" i="1"/>
  <c r="N30" i="1"/>
  <c r="N31" i="1"/>
  <c r="N32" i="1"/>
  <c r="N33" i="1"/>
  <c r="N39" i="1"/>
  <c r="N36" i="1"/>
  <c r="N37" i="1"/>
  <c r="N38" i="1"/>
  <c r="N40" i="1"/>
  <c r="N34" i="1"/>
  <c r="N35" i="1"/>
  <c r="N44" i="1"/>
  <c r="N41" i="1"/>
  <c r="N42" i="1"/>
  <c r="N45" i="1"/>
  <c r="N43" i="1"/>
  <c r="N62" i="1"/>
  <c r="N56" i="1"/>
  <c r="N49" i="1"/>
  <c r="N57" i="1"/>
  <c r="N52" i="1"/>
  <c r="N53" i="1"/>
  <c r="N61" i="1"/>
  <c r="N54" i="1"/>
  <c r="N50" i="1"/>
  <c r="N60" i="1"/>
  <c r="N59" i="1"/>
  <c r="N48" i="1"/>
  <c r="N58" i="1"/>
  <c r="N55" i="1"/>
  <c r="N46" i="1"/>
  <c r="N51" i="1"/>
  <c r="N47" i="1"/>
  <c r="N67" i="1"/>
  <c r="N65" i="1"/>
  <c r="N68" i="1"/>
  <c r="N64" i="1"/>
  <c r="N66" i="1"/>
  <c r="N63" i="1"/>
  <c r="N76" i="1"/>
  <c r="N70" i="1"/>
  <c r="N69" i="1"/>
  <c r="N74" i="1"/>
  <c r="N75" i="1"/>
  <c r="N72" i="1"/>
  <c r="N71" i="1"/>
  <c r="N73" i="1"/>
  <c r="N85" i="1"/>
  <c r="N88" i="1"/>
  <c r="N87" i="1"/>
  <c r="N89" i="1"/>
  <c r="N77" i="1"/>
  <c r="N84" i="1"/>
  <c r="N86" i="1"/>
  <c r="N83" i="1"/>
  <c r="N82" i="1"/>
  <c r="N79" i="1"/>
  <c r="N78" i="1"/>
  <c r="N81" i="1"/>
  <c r="N80" i="1"/>
  <c r="N91" i="1"/>
  <c r="N90" i="1"/>
  <c r="N92" i="1"/>
  <c r="N93" i="1"/>
  <c r="N96" i="1"/>
  <c r="N94" i="1"/>
  <c r="N95" i="1"/>
  <c r="N98" i="1"/>
  <c r="N97" i="1"/>
  <c r="N105" i="1"/>
  <c r="N107" i="1"/>
  <c r="N108" i="1"/>
  <c r="N106" i="1"/>
  <c r="N104" i="1"/>
  <c r="N109" i="1"/>
  <c r="N103" i="1"/>
  <c r="N102" i="1"/>
  <c r="N99" i="1"/>
  <c r="N101" i="1"/>
  <c r="N100" i="1"/>
  <c r="N111" i="1"/>
  <c r="N110" i="1"/>
  <c r="N112" i="1"/>
  <c r="N115" i="1"/>
  <c r="N114" i="1"/>
  <c r="N113" i="1"/>
  <c r="N116" i="1"/>
  <c r="N117" i="1"/>
  <c r="N119" i="1"/>
  <c r="N118" i="1"/>
  <c r="N121" i="1"/>
  <c r="N120" i="1"/>
  <c r="N122" i="1"/>
  <c r="N127" i="1"/>
  <c r="N130" i="1"/>
  <c r="N132" i="1"/>
  <c r="N124" i="1"/>
  <c r="N125" i="1"/>
  <c r="N128" i="1"/>
  <c r="N131" i="1"/>
  <c r="N129" i="1"/>
  <c r="N123" i="1"/>
  <c r="N126" i="1"/>
  <c r="N133" i="1"/>
  <c r="N134" i="1"/>
  <c r="N135" i="1"/>
  <c r="N145" i="1"/>
  <c r="N140" i="1"/>
  <c r="N144" i="1"/>
  <c r="N143" i="1"/>
  <c r="N142" i="1"/>
  <c r="N146" i="1"/>
  <c r="N139" i="1"/>
  <c r="N138" i="1"/>
  <c r="N141" i="1"/>
  <c r="N136" i="1"/>
  <c r="N137" i="1"/>
  <c r="N151" i="1"/>
  <c r="N149" i="1"/>
  <c r="N148" i="1"/>
  <c r="N150" i="1"/>
  <c r="N147" i="1"/>
  <c r="N154" i="1"/>
  <c r="N152" i="1"/>
  <c r="N156" i="1"/>
  <c r="N159" i="1"/>
  <c r="N157" i="1"/>
  <c r="N158" i="1"/>
  <c r="N155" i="1"/>
  <c r="N153" i="1"/>
  <c r="N160" i="1"/>
  <c r="N161" i="1"/>
  <c r="N162" i="1"/>
  <c r="N163" i="1"/>
  <c r="N167" i="1"/>
  <c r="N168" i="1"/>
  <c r="N164" i="1"/>
  <c r="N165" i="1"/>
  <c r="N166" i="1"/>
  <c r="N198" i="1"/>
  <c r="N200" i="1"/>
  <c r="N184" i="1"/>
  <c r="N214" i="1"/>
  <c r="N173" i="1"/>
  <c r="N192" i="1"/>
  <c r="N181" i="1"/>
  <c r="N182" i="1"/>
  <c r="N196" i="1"/>
  <c r="N187" i="1"/>
  <c r="N180" i="1"/>
  <c r="N204" i="1"/>
  <c r="N219" i="1"/>
  <c r="N191" i="1"/>
  <c r="N207" i="1"/>
  <c r="N218" i="1"/>
  <c r="N177" i="1"/>
  <c r="N202" i="1"/>
  <c r="N176" i="1"/>
  <c r="N194" i="1"/>
  <c r="N220" i="1"/>
  <c r="N178" i="1"/>
  <c r="N193" i="1"/>
  <c r="N197" i="1"/>
  <c r="N172" i="1"/>
  <c r="N170" i="1"/>
  <c r="N175" i="1"/>
  <c r="N169" i="1"/>
  <c r="N212" i="1"/>
  <c r="N209" i="1"/>
  <c r="N208" i="1"/>
  <c r="N179" i="1"/>
  <c r="N188" i="1"/>
  <c r="N171" i="1"/>
  <c r="N223" i="1"/>
  <c r="N222" i="1"/>
  <c r="N213" i="1"/>
  <c r="N183" i="1"/>
  <c r="N216" i="1"/>
  <c r="N174" i="1"/>
  <c r="N201" i="1"/>
  <c r="N186" i="1"/>
  <c r="N189" i="1"/>
  <c r="N210" i="1"/>
  <c r="N205" i="1"/>
  <c r="N211" i="1"/>
  <c r="N195" i="1"/>
  <c r="N190" i="1"/>
  <c r="N206" i="1"/>
  <c r="N203" i="1"/>
  <c r="N217" i="1"/>
  <c r="N199" i="1"/>
  <c r="N185" i="1"/>
  <c r="N221" i="1"/>
  <c r="N215" i="1"/>
  <c r="N18" i="1"/>
  <c r="Y26" i="3" l="1"/>
  <c r="AB26" i="3" s="1"/>
  <c r="S26" i="3"/>
  <c r="U26" i="3" s="1"/>
  <c r="V26" i="3" s="1"/>
  <c r="Y24" i="3"/>
  <c r="AB24" i="3" s="1"/>
  <c r="S24" i="3"/>
  <c r="U24" i="3" s="1"/>
  <c r="V24" i="3" s="1"/>
  <c r="Y21" i="3"/>
  <c r="AB21" i="3" s="1"/>
  <c r="S21" i="3"/>
  <c r="U21" i="3" s="1"/>
  <c r="V21" i="3" s="1"/>
  <c r="Y16" i="3"/>
  <c r="AB16" i="3" s="1"/>
  <c r="S16" i="3"/>
  <c r="U16" i="3" s="1"/>
  <c r="W16" i="3" s="1"/>
  <c r="AH224" i="1"/>
  <c r="AD33" i="3"/>
  <c r="AF33" i="3" s="1"/>
  <c r="N224" i="1"/>
  <c r="Y33" i="3"/>
  <c r="AB33" i="3" s="1"/>
  <c r="AD35" i="3"/>
  <c r="AF35" i="3" s="1"/>
  <c r="AD17" i="3"/>
  <c r="AF17" i="3" s="1"/>
  <c r="AD37" i="3"/>
  <c r="AF37" i="3" s="1"/>
  <c r="AD18" i="3"/>
  <c r="AF18" i="3" s="1"/>
  <c r="AD22" i="3"/>
  <c r="AF22" i="3" s="1"/>
  <c r="AD31" i="3"/>
  <c r="AF31" i="3" s="1"/>
  <c r="AD24" i="3"/>
  <c r="AF24" i="3" s="1"/>
  <c r="AD25" i="3"/>
  <c r="AF25" i="3" s="1"/>
  <c r="AD19" i="3"/>
  <c r="AF19" i="3" s="1"/>
  <c r="AD20" i="3"/>
  <c r="AF20" i="3" s="1"/>
  <c r="AD36" i="3"/>
  <c r="AF36" i="3" s="1"/>
  <c r="AD26" i="3"/>
  <c r="AF26" i="3" s="1"/>
  <c r="AD21" i="3"/>
  <c r="AF21" i="3" s="1"/>
  <c r="Y20" i="3"/>
  <c r="AB20" i="3" s="1"/>
  <c r="Y25" i="3"/>
  <c r="AB25" i="3" s="1"/>
  <c r="AD16" i="3"/>
  <c r="AF16" i="3" s="1"/>
  <c r="W25" i="3"/>
  <c r="Y35" i="3"/>
  <c r="AB35" i="3" s="1"/>
  <c r="Y18" i="3"/>
  <c r="AB18" i="3" s="1"/>
  <c r="Y22" i="3"/>
  <c r="AB22" i="3" s="1"/>
  <c r="Y31" i="3"/>
  <c r="AB31" i="3" s="1"/>
  <c r="V18" i="3"/>
  <c r="Y37" i="3"/>
  <c r="AB37" i="3" s="1"/>
  <c r="AE38" i="3"/>
  <c r="AG38" i="3"/>
  <c r="Y36" i="3"/>
  <c r="AB36" i="3" s="1"/>
  <c r="V19" i="3"/>
  <c r="AD34" i="3"/>
  <c r="AF34" i="3" s="1"/>
  <c r="Y30" i="3"/>
  <c r="AB30" i="3" s="1"/>
  <c r="W17" i="3"/>
  <c r="AD30" i="3"/>
  <c r="AF30" i="3" s="1"/>
  <c r="Y17" i="3"/>
  <c r="AB17" i="3" s="1"/>
  <c r="V22" i="3"/>
  <c r="V20" i="3"/>
  <c r="Y19" i="3"/>
  <c r="AB19" i="3" s="1"/>
  <c r="Y34" i="3"/>
  <c r="AB34" i="3" s="1"/>
  <c r="R38" i="3"/>
  <c r="AD38" i="3" s="1"/>
  <c r="AD27" i="3"/>
  <c r="AF27" i="3" s="1"/>
  <c r="Y27" i="3"/>
  <c r="AB27" i="3" s="1"/>
  <c r="AD28" i="3"/>
  <c r="AF28" i="3" s="1"/>
  <c r="Y28" i="3"/>
  <c r="AB28" i="3" s="1"/>
  <c r="AD32" i="3"/>
  <c r="AF32" i="3" s="1"/>
  <c r="Y32" i="3"/>
  <c r="AB32" i="3" s="1"/>
  <c r="AD23" i="3"/>
  <c r="AF23" i="3" s="1"/>
  <c r="Y23" i="3"/>
  <c r="AB23" i="3" s="1"/>
  <c r="O238" i="2"/>
  <c r="AH136" i="1"/>
  <c r="AP136" i="1" s="1"/>
  <c r="AQ136" i="1" s="1"/>
  <c r="S10" i="1"/>
  <c r="X10" i="1" s="1"/>
  <c r="H7" i="2"/>
  <c r="W24" i="3" l="1"/>
  <c r="W21" i="3"/>
  <c r="W26" i="3"/>
  <c r="W22" i="3"/>
  <c r="V16" i="3"/>
  <c r="W19" i="3"/>
  <c r="V25" i="3"/>
  <c r="V17" i="3"/>
  <c r="W18" i="3"/>
  <c r="AF38" i="3"/>
  <c r="W20" i="3"/>
  <c r="R39" i="3"/>
  <c r="Y38" i="3"/>
  <c r="AB38" i="3" s="1"/>
  <c r="W23" i="3"/>
  <c r="V23" i="3"/>
  <c r="W27" i="3"/>
  <c r="V27" i="3"/>
  <c r="W28" i="3"/>
  <c r="V28" i="3"/>
  <c r="J60" i="1"/>
  <c r="J159" i="1"/>
  <c r="J196" i="1"/>
  <c r="J200" i="1"/>
  <c r="J181" i="1"/>
  <c r="J191" i="1"/>
  <c r="J97" i="1"/>
  <c r="J106" i="1"/>
  <c r="J113" i="1"/>
  <c r="J147" i="1"/>
  <c r="J154" i="1"/>
  <c r="J155" i="1"/>
  <c r="J177" i="1"/>
  <c r="J202" i="1"/>
  <c r="J54" i="1"/>
  <c r="J188" i="1"/>
  <c r="J156" i="1"/>
  <c r="J180" i="1"/>
  <c r="J220" i="1"/>
  <c r="J205" i="1"/>
  <c r="J129" i="1"/>
  <c r="J142" i="1"/>
  <c r="J171" i="1"/>
  <c r="J94" i="1"/>
  <c r="J104" i="1"/>
  <c r="J186" i="1"/>
  <c r="J207" i="1"/>
  <c r="J199" i="1"/>
  <c r="J168" i="1"/>
  <c r="J111" i="1"/>
  <c r="J173" i="1"/>
  <c r="J123" i="1"/>
  <c r="J138" i="1"/>
  <c r="J195" i="1"/>
  <c r="J151" i="1"/>
  <c r="J112" i="1"/>
  <c r="J223" i="1"/>
  <c r="J172" i="1"/>
  <c r="J107" i="1"/>
  <c r="J219" i="1"/>
  <c r="J215" i="1"/>
  <c r="J163" i="1"/>
  <c r="J70" i="1"/>
  <c r="J117" i="1"/>
  <c r="J93" i="1"/>
  <c r="J178" i="1"/>
  <c r="J158" i="1"/>
  <c r="J179" i="1"/>
  <c r="J63" i="1"/>
  <c r="J218" i="1"/>
  <c r="J56" i="1"/>
  <c r="J212" i="1"/>
  <c r="J32" i="1"/>
  <c r="J31" i="1"/>
  <c r="J131" i="1"/>
  <c r="J153" i="1"/>
  <c r="J86" i="1"/>
  <c r="J57" i="1"/>
  <c r="J96" i="1"/>
  <c r="J133" i="1"/>
  <c r="J164" i="1"/>
  <c r="J167" i="1"/>
  <c r="J176" i="1"/>
  <c r="J75" i="1"/>
  <c r="J130" i="1"/>
  <c r="J146" i="1"/>
  <c r="J102" i="1"/>
  <c r="J84" i="1"/>
  <c r="J73" i="1"/>
  <c r="J109" i="1"/>
  <c r="J98" i="1"/>
  <c r="J137" i="1"/>
  <c r="J68" i="1"/>
  <c r="J165" i="1"/>
  <c r="J222" i="1"/>
  <c r="J209" i="1"/>
  <c r="J88" i="1"/>
  <c r="J127" i="1"/>
  <c r="J190" i="1"/>
  <c r="J189" i="1"/>
  <c r="J148" i="1"/>
  <c r="J210" i="1"/>
  <c r="J206" i="1"/>
  <c r="J184" i="1"/>
  <c r="J141" i="1"/>
  <c r="J203" i="1"/>
  <c r="J221" i="1"/>
  <c r="J124" i="1"/>
  <c r="J92" i="1"/>
  <c r="J51" i="1"/>
  <c r="J83" i="1"/>
  <c r="J72" i="1"/>
  <c r="J110" i="1"/>
  <c r="J87" i="1"/>
  <c r="J208" i="1"/>
  <c r="J132" i="1"/>
  <c r="J116" i="1"/>
  <c r="J82" i="1"/>
  <c r="J150" i="1"/>
  <c r="J162" i="1"/>
  <c r="J193" i="1"/>
  <c r="J187" i="1"/>
  <c r="J211" i="1"/>
  <c r="J169" i="1"/>
  <c r="J100" i="1"/>
  <c r="J128" i="1"/>
  <c r="J166" i="1"/>
  <c r="J174" i="1"/>
  <c r="J80" i="1"/>
  <c r="J121" i="1"/>
  <c r="J140" i="1"/>
  <c r="J197" i="1"/>
  <c r="J157" i="1"/>
  <c r="J79" i="1"/>
  <c r="J120" i="1"/>
  <c r="J95" i="1"/>
  <c r="J114" i="1"/>
  <c r="J217" i="1"/>
  <c r="J216" i="1"/>
  <c r="J134" i="1"/>
  <c r="J204" i="1"/>
  <c r="J192" i="1"/>
  <c r="J214" i="1"/>
  <c r="J201" i="1"/>
  <c r="J115" i="1"/>
  <c r="J101" i="1"/>
  <c r="J143" i="1"/>
  <c r="J44" i="1"/>
  <c r="J71" i="1"/>
  <c r="J185" i="1"/>
  <c r="J149" i="1"/>
  <c r="J105" i="1"/>
  <c r="J160" i="1"/>
  <c r="J64" i="1"/>
  <c r="J135" i="1"/>
  <c r="J58" i="1"/>
  <c r="J194" i="1"/>
  <c r="J183" i="1"/>
  <c r="J170" i="1"/>
  <c r="J213" i="1"/>
  <c r="J182" i="1"/>
  <c r="J122" i="1"/>
  <c r="J77" i="1"/>
  <c r="J81" i="1"/>
  <c r="J198" i="1"/>
  <c r="J175" i="1"/>
  <c r="J125" i="1"/>
  <c r="J136" i="1"/>
  <c r="J45" i="1"/>
  <c r="J55" i="1"/>
  <c r="J103" i="1"/>
  <c r="J59" i="1"/>
  <c r="J36" i="1"/>
  <c r="J108" i="1"/>
  <c r="J21" i="1"/>
  <c r="J62" i="1"/>
  <c r="J30" i="1"/>
  <c r="J33" i="1"/>
  <c r="J61" i="1"/>
  <c r="J40" i="1"/>
  <c r="J29" i="1"/>
  <c r="J65" i="1"/>
  <c r="J145" i="1"/>
  <c r="J43" i="1"/>
  <c r="J69" i="1"/>
  <c r="J126" i="1"/>
  <c r="J26" i="1"/>
  <c r="J47" i="1"/>
  <c r="J23" i="1"/>
  <c r="J52" i="1"/>
  <c r="J144" i="1"/>
  <c r="J27" i="1"/>
  <c r="J49" i="1"/>
  <c r="J50" i="1"/>
  <c r="J22" i="1"/>
  <c r="J19" i="1"/>
  <c r="J25" i="1"/>
  <c r="J18" i="1"/>
  <c r="J91" i="1"/>
  <c r="J85" i="1"/>
  <c r="J74" i="1"/>
  <c r="J28" i="1"/>
  <c r="J34" i="1"/>
  <c r="J20" i="1"/>
  <c r="J161" i="1"/>
  <c r="J152" i="1"/>
  <c r="J90" i="1"/>
  <c r="J39" i="1"/>
  <c r="J119" i="1"/>
  <c r="J24" i="1"/>
  <c r="J46" i="1"/>
  <c r="J38" i="1"/>
  <c r="J35" i="1"/>
  <c r="J89" i="1"/>
  <c r="J66" i="1"/>
  <c r="J78" i="1"/>
  <c r="J53" i="1"/>
  <c r="J41" i="1"/>
  <c r="J76" i="1"/>
  <c r="J67" i="1"/>
  <c r="J118" i="1"/>
  <c r="J48" i="1"/>
  <c r="J37" i="1"/>
  <c r="J139" i="1"/>
  <c r="J99" i="1"/>
  <c r="J42" i="1"/>
  <c r="S12" i="1"/>
  <c r="X12" i="1" s="1"/>
  <c r="S11" i="1"/>
  <c r="X11" i="1" s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14" i="2"/>
  <c r="H238" i="2"/>
  <c r="I238" i="2"/>
  <c r="J238" i="2"/>
  <c r="V9" i="2"/>
  <c r="AA9" i="2" s="1"/>
  <c r="V8" i="2"/>
  <c r="AA8" i="2" s="1"/>
  <c r="V7" i="2"/>
  <c r="AA7" i="2" s="1"/>
  <c r="AB238" i="2"/>
  <c r="AE227" i="1" s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14" i="2"/>
  <c r="AH19" i="1"/>
  <c r="AP19" i="1" s="1"/>
  <c r="AQ19" i="1" s="1"/>
  <c r="AH20" i="1"/>
  <c r="AP20" i="1" s="1"/>
  <c r="AQ20" i="1" s="1"/>
  <c r="AH22" i="1"/>
  <c r="AP22" i="1" s="1"/>
  <c r="AQ22" i="1" s="1"/>
  <c r="AH21" i="1"/>
  <c r="AP21" i="1" s="1"/>
  <c r="AQ21" i="1" s="1"/>
  <c r="AH24" i="1"/>
  <c r="AP24" i="1" s="1"/>
  <c r="AQ24" i="1" s="1"/>
  <c r="AH25" i="1"/>
  <c r="AP25" i="1" s="1"/>
  <c r="AQ25" i="1" s="1"/>
  <c r="AH23" i="1"/>
  <c r="AP23" i="1" s="1"/>
  <c r="AQ23" i="1" s="1"/>
  <c r="AH26" i="1"/>
  <c r="AP26" i="1" s="1"/>
  <c r="AQ26" i="1" s="1"/>
  <c r="AH27" i="1"/>
  <c r="AP27" i="1" s="1"/>
  <c r="AQ27" i="1" s="1"/>
  <c r="AH28" i="1"/>
  <c r="AP28" i="1" s="1"/>
  <c r="AQ28" i="1" s="1"/>
  <c r="AH29" i="1"/>
  <c r="AP29" i="1" s="1"/>
  <c r="AQ29" i="1" s="1"/>
  <c r="AH30" i="1"/>
  <c r="AP30" i="1" s="1"/>
  <c r="AQ30" i="1" s="1"/>
  <c r="AH31" i="1"/>
  <c r="AP31" i="1" s="1"/>
  <c r="AQ31" i="1" s="1"/>
  <c r="AH32" i="1"/>
  <c r="AP32" i="1" s="1"/>
  <c r="AQ32" i="1" s="1"/>
  <c r="AH33" i="1"/>
  <c r="AP33" i="1" s="1"/>
  <c r="AQ33" i="1" s="1"/>
  <c r="AH39" i="1"/>
  <c r="AP39" i="1" s="1"/>
  <c r="AQ39" i="1" s="1"/>
  <c r="AH36" i="1"/>
  <c r="AP36" i="1" s="1"/>
  <c r="AQ36" i="1" s="1"/>
  <c r="AH37" i="1"/>
  <c r="AP37" i="1" s="1"/>
  <c r="AQ37" i="1" s="1"/>
  <c r="AH38" i="1"/>
  <c r="AP38" i="1" s="1"/>
  <c r="AQ38" i="1" s="1"/>
  <c r="AH40" i="1"/>
  <c r="AP40" i="1" s="1"/>
  <c r="AQ40" i="1" s="1"/>
  <c r="AH34" i="1"/>
  <c r="AP34" i="1" s="1"/>
  <c r="AQ34" i="1" s="1"/>
  <c r="AH35" i="1"/>
  <c r="AP35" i="1" s="1"/>
  <c r="AQ35" i="1" s="1"/>
  <c r="AH44" i="1"/>
  <c r="AP44" i="1" s="1"/>
  <c r="AQ44" i="1" s="1"/>
  <c r="AH41" i="1"/>
  <c r="AP41" i="1" s="1"/>
  <c r="AQ41" i="1" s="1"/>
  <c r="AH42" i="1"/>
  <c r="AP42" i="1" s="1"/>
  <c r="AQ42" i="1" s="1"/>
  <c r="AH45" i="1"/>
  <c r="AP45" i="1" s="1"/>
  <c r="AQ45" i="1" s="1"/>
  <c r="AH43" i="1"/>
  <c r="AP43" i="1" s="1"/>
  <c r="AQ43" i="1" s="1"/>
  <c r="AH62" i="1"/>
  <c r="AP62" i="1" s="1"/>
  <c r="AQ62" i="1" s="1"/>
  <c r="AH56" i="1"/>
  <c r="AP56" i="1" s="1"/>
  <c r="AQ56" i="1" s="1"/>
  <c r="AH49" i="1"/>
  <c r="AP49" i="1" s="1"/>
  <c r="AQ49" i="1" s="1"/>
  <c r="AH57" i="1"/>
  <c r="AP57" i="1" s="1"/>
  <c r="AQ57" i="1" s="1"/>
  <c r="AH52" i="1"/>
  <c r="AP52" i="1" s="1"/>
  <c r="AQ52" i="1" s="1"/>
  <c r="AH53" i="1"/>
  <c r="AP53" i="1" s="1"/>
  <c r="AQ53" i="1" s="1"/>
  <c r="AH61" i="1"/>
  <c r="AP61" i="1" s="1"/>
  <c r="AQ61" i="1" s="1"/>
  <c r="AH54" i="1"/>
  <c r="AP54" i="1" s="1"/>
  <c r="AQ54" i="1" s="1"/>
  <c r="AH50" i="1"/>
  <c r="AP50" i="1" s="1"/>
  <c r="AQ50" i="1" s="1"/>
  <c r="AH60" i="1"/>
  <c r="AP60" i="1" s="1"/>
  <c r="AQ60" i="1" s="1"/>
  <c r="AH59" i="1"/>
  <c r="AP59" i="1" s="1"/>
  <c r="AQ59" i="1" s="1"/>
  <c r="AH48" i="1"/>
  <c r="AP48" i="1" s="1"/>
  <c r="AQ48" i="1" s="1"/>
  <c r="AH58" i="1"/>
  <c r="AP58" i="1" s="1"/>
  <c r="AQ58" i="1" s="1"/>
  <c r="AH55" i="1"/>
  <c r="AP55" i="1" s="1"/>
  <c r="AQ55" i="1" s="1"/>
  <c r="AH46" i="1"/>
  <c r="AP46" i="1" s="1"/>
  <c r="AQ46" i="1" s="1"/>
  <c r="AH51" i="1"/>
  <c r="AP51" i="1" s="1"/>
  <c r="AQ51" i="1" s="1"/>
  <c r="AH47" i="1"/>
  <c r="AP47" i="1" s="1"/>
  <c r="AQ47" i="1" s="1"/>
  <c r="AH67" i="1"/>
  <c r="AP67" i="1" s="1"/>
  <c r="AQ67" i="1" s="1"/>
  <c r="AH65" i="1"/>
  <c r="AP65" i="1" s="1"/>
  <c r="AQ65" i="1" s="1"/>
  <c r="AH68" i="1"/>
  <c r="AP68" i="1" s="1"/>
  <c r="AQ68" i="1" s="1"/>
  <c r="AH64" i="1"/>
  <c r="AP64" i="1" s="1"/>
  <c r="AQ64" i="1" s="1"/>
  <c r="AH66" i="1"/>
  <c r="AP66" i="1" s="1"/>
  <c r="AQ66" i="1" s="1"/>
  <c r="AH63" i="1"/>
  <c r="AP63" i="1" s="1"/>
  <c r="AQ63" i="1" s="1"/>
  <c r="AH76" i="1"/>
  <c r="AP76" i="1" s="1"/>
  <c r="AQ76" i="1" s="1"/>
  <c r="AH70" i="1"/>
  <c r="AP70" i="1" s="1"/>
  <c r="AQ70" i="1" s="1"/>
  <c r="AH69" i="1"/>
  <c r="AP69" i="1" s="1"/>
  <c r="AQ69" i="1" s="1"/>
  <c r="AH74" i="1"/>
  <c r="AP74" i="1" s="1"/>
  <c r="AQ74" i="1" s="1"/>
  <c r="AH75" i="1"/>
  <c r="AP75" i="1" s="1"/>
  <c r="AQ75" i="1" s="1"/>
  <c r="AH72" i="1"/>
  <c r="AP72" i="1" s="1"/>
  <c r="AQ72" i="1" s="1"/>
  <c r="AH71" i="1"/>
  <c r="AP71" i="1" s="1"/>
  <c r="AQ71" i="1" s="1"/>
  <c r="AH73" i="1"/>
  <c r="AP73" i="1" s="1"/>
  <c r="AQ73" i="1" s="1"/>
  <c r="AH85" i="1"/>
  <c r="AP85" i="1" s="1"/>
  <c r="AQ85" i="1" s="1"/>
  <c r="AH88" i="1"/>
  <c r="AP88" i="1" s="1"/>
  <c r="AQ88" i="1" s="1"/>
  <c r="AH87" i="1"/>
  <c r="AP87" i="1" s="1"/>
  <c r="AQ87" i="1" s="1"/>
  <c r="AH89" i="1"/>
  <c r="AP89" i="1" s="1"/>
  <c r="AQ89" i="1" s="1"/>
  <c r="AH77" i="1"/>
  <c r="AP77" i="1" s="1"/>
  <c r="AQ77" i="1" s="1"/>
  <c r="AH84" i="1"/>
  <c r="AP84" i="1" s="1"/>
  <c r="AQ84" i="1" s="1"/>
  <c r="AH86" i="1"/>
  <c r="AP86" i="1" s="1"/>
  <c r="AQ86" i="1" s="1"/>
  <c r="AH83" i="1"/>
  <c r="AP83" i="1" s="1"/>
  <c r="AQ83" i="1" s="1"/>
  <c r="AH82" i="1"/>
  <c r="AP82" i="1" s="1"/>
  <c r="AQ82" i="1" s="1"/>
  <c r="AH79" i="1"/>
  <c r="AP79" i="1" s="1"/>
  <c r="AQ79" i="1" s="1"/>
  <c r="AH78" i="1"/>
  <c r="AP78" i="1" s="1"/>
  <c r="AQ78" i="1" s="1"/>
  <c r="AH81" i="1"/>
  <c r="AP81" i="1" s="1"/>
  <c r="AQ81" i="1" s="1"/>
  <c r="AH80" i="1"/>
  <c r="AP80" i="1" s="1"/>
  <c r="AQ80" i="1" s="1"/>
  <c r="AH91" i="1"/>
  <c r="AP91" i="1" s="1"/>
  <c r="AQ91" i="1" s="1"/>
  <c r="AH90" i="1"/>
  <c r="AP90" i="1" s="1"/>
  <c r="AQ90" i="1" s="1"/>
  <c r="AH92" i="1"/>
  <c r="AP92" i="1" s="1"/>
  <c r="AQ92" i="1" s="1"/>
  <c r="AH93" i="1"/>
  <c r="AP93" i="1" s="1"/>
  <c r="AQ93" i="1" s="1"/>
  <c r="AH96" i="1"/>
  <c r="AP96" i="1" s="1"/>
  <c r="AQ96" i="1" s="1"/>
  <c r="AH94" i="1"/>
  <c r="AP94" i="1" s="1"/>
  <c r="AQ94" i="1" s="1"/>
  <c r="AH95" i="1"/>
  <c r="AP95" i="1" s="1"/>
  <c r="AQ95" i="1" s="1"/>
  <c r="AH98" i="1"/>
  <c r="AP98" i="1" s="1"/>
  <c r="AQ98" i="1" s="1"/>
  <c r="AH97" i="1"/>
  <c r="AP97" i="1" s="1"/>
  <c r="AQ97" i="1" s="1"/>
  <c r="AH105" i="1"/>
  <c r="AP105" i="1" s="1"/>
  <c r="AQ105" i="1" s="1"/>
  <c r="AH107" i="1"/>
  <c r="AP107" i="1" s="1"/>
  <c r="AQ107" i="1" s="1"/>
  <c r="AH108" i="1"/>
  <c r="AP108" i="1" s="1"/>
  <c r="AQ108" i="1" s="1"/>
  <c r="AH106" i="1"/>
  <c r="AP106" i="1" s="1"/>
  <c r="AQ106" i="1" s="1"/>
  <c r="AH104" i="1"/>
  <c r="AP104" i="1" s="1"/>
  <c r="AQ104" i="1" s="1"/>
  <c r="AH109" i="1"/>
  <c r="AP109" i="1" s="1"/>
  <c r="AQ109" i="1" s="1"/>
  <c r="AH103" i="1"/>
  <c r="AP103" i="1" s="1"/>
  <c r="AQ103" i="1" s="1"/>
  <c r="AH102" i="1"/>
  <c r="AP102" i="1" s="1"/>
  <c r="AQ102" i="1" s="1"/>
  <c r="AH99" i="1"/>
  <c r="AP99" i="1" s="1"/>
  <c r="AQ99" i="1" s="1"/>
  <c r="AH101" i="1"/>
  <c r="AP101" i="1" s="1"/>
  <c r="AQ101" i="1" s="1"/>
  <c r="AH100" i="1"/>
  <c r="AP100" i="1" s="1"/>
  <c r="AQ100" i="1" s="1"/>
  <c r="AH111" i="1"/>
  <c r="AP111" i="1" s="1"/>
  <c r="AQ111" i="1" s="1"/>
  <c r="AH110" i="1"/>
  <c r="AP110" i="1" s="1"/>
  <c r="AQ110" i="1" s="1"/>
  <c r="AH112" i="1"/>
  <c r="AP112" i="1" s="1"/>
  <c r="AQ112" i="1" s="1"/>
  <c r="AH115" i="1"/>
  <c r="AP115" i="1" s="1"/>
  <c r="AQ115" i="1" s="1"/>
  <c r="AH114" i="1"/>
  <c r="AP114" i="1" s="1"/>
  <c r="AQ114" i="1" s="1"/>
  <c r="AH113" i="1"/>
  <c r="AP113" i="1" s="1"/>
  <c r="AQ113" i="1" s="1"/>
  <c r="AH116" i="1"/>
  <c r="AP116" i="1" s="1"/>
  <c r="AQ116" i="1" s="1"/>
  <c r="AH117" i="1"/>
  <c r="AP117" i="1" s="1"/>
  <c r="AQ117" i="1" s="1"/>
  <c r="AH119" i="1"/>
  <c r="AP119" i="1" s="1"/>
  <c r="AQ119" i="1" s="1"/>
  <c r="AH118" i="1"/>
  <c r="AP118" i="1" s="1"/>
  <c r="AQ118" i="1" s="1"/>
  <c r="AH121" i="1"/>
  <c r="AP121" i="1" s="1"/>
  <c r="AQ121" i="1" s="1"/>
  <c r="AH120" i="1"/>
  <c r="AP120" i="1" s="1"/>
  <c r="AQ120" i="1" s="1"/>
  <c r="AH122" i="1"/>
  <c r="AP122" i="1" s="1"/>
  <c r="AQ122" i="1" s="1"/>
  <c r="AH127" i="1"/>
  <c r="AP127" i="1" s="1"/>
  <c r="AQ127" i="1" s="1"/>
  <c r="AH130" i="1"/>
  <c r="AP130" i="1" s="1"/>
  <c r="AQ130" i="1" s="1"/>
  <c r="AH132" i="1"/>
  <c r="AP132" i="1" s="1"/>
  <c r="AQ132" i="1" s="1"/>
  <c r="AH124" i="1"/>
  <c r="AP124" i="1" s="1"/>
  <c r="AQ124" i="1" s="1"/>
  <c r="AH125" i="1"/>
  <c r="AP125" i="1" s="1"/>
  <c r="AQ125" i="1" s="1"/>
  <c r="AH128" i="1"/>
  <c r="AP128" i="1" s="1"/>
  <c r="AQ128" i="1" s="1"/>
  <c r="AH131" i="1"/>
  <c r="AP131" i="1" s="1"/>
  <c r="AQ131" i="1" s="1"/>
  <c r="AH129" i="1"/>
  <c r="AP129" i="1" s="1"/>
  <c r="AQ129" i="1" s="1"/>
  <c r="AH123" i="1"/>
  <c r="AP123" i="1" s="1"/>
  <c r="AQ123" i="1" s="1"/>
  <c r="AH126" i="1"/>
  <c r="AP126" i="1" s="1"/>
  <c r="AQ126" i="1" s="1"/>
  <c r="AH133" i="1"/>
  <c r="AP133" i="1" s="1"/>
  <c r="AQ133" i="1" s="1"/>
  <c r="AH134" i="1"/>
  <c r="AP134" i="1" s="1"/>
  <c r="AQ134" i="1" s="1"/>
  <c r="AH135" i="1"/>
  <c r="AP135" i="1" s="1"/>
  <c r="AQ135" i="1" s="1"/>
  <c r="AH145" i="1"/>
  <c r="AP145" i="1" s="1"/>
  <c r="AQ145" i="1" s="1"/>
  <c r="AH140" i="1"/>
  <c r="AP140" i="1" s="1"/>
  <c r="AQ140" i="1" s="1"/>
  <c r="AH144" i="1"/>
  <c r="AP144" i="1" s="1"/>
  <c r="AQ144" i="1" s="1"/>
  <c r="AH143" i="1"/>
  <c r="AP143" i="1" s="1"/>
  <c r="AQ143" i="1" s="1"/>
  <c r="AH142" i="1"/>
  <c r="AP142" i="1" s="1"/>
  <c r="AQ142" i="1" s="1"/>
  <c r="AH146" i="1"/>
  <c r="AP146" i="1" s="1"/>
  <c r="AQ146" i="1" s="1"/>
  <c r="AH139" i="1"/>
  <c r="AP139" i="1" s="1"/>
  <c r="AQ139" i="1" s="1"/>
  <c r="AH138" i="1"/>
  <c r="AP138" i="1" s="1"/>
  <c r="AQ138" i="1" s="1"/>
  <c r="AH141" i="1"/>
  <c r="AP141" i="1" s="1"/>
  <c r="AQ141" i="1" s="1"/>
  <c r="AH137" i="1"/>
  <c r="AP137" i="1" s="1"/>
  <c r="AQ137" i="1" s="1"/>
  <c r="AH151" i="1"/>
  <c r="AP151" i="1" s="1"/>
  <c r="AQ151" i="1" s="1"/>
  <c r="AH149" i="1"/>
  <c r="AP149" i="1" s="1"/>
  <c r="AQ149" i="1" s="1"/>
  <c r="AH148" i="1"/>
  <c r="AP148" i="1" s="1"/>
  <c r="AQ148" i="1" s="1"/>
  <c r="AH150" i="1"/>
  <c r="AP150" i="1" s="1"/>
  <c r="AQ150" i="1" s="1"/>
  <c r="AH147" i="1"/>
  <c r="AP147" i="1" s="1"/>
  <c r="AQ147" i="1" s="1"/>
  <c r="AH154" i="1"/>
  <c r="AP154" i="1" s="1"/>
  <c r="AQ154" i="1" s="1"/>
  <c r="AH152" i="1"/>
  <c r="AP152" i="1" s="1"/>
  <c r="AQ152" i="1" s="1"/>
  <c r="AH156" i="1"/>
  <c r="AP156" i="1" s="1"/>
  <c r="AQ156" i="1" s="1"/>
  <c r="AH159" i="1"/>
  <c r="AP159" i="1" s="1"/>
  <c r="AQ159" i="1" s="1"/>
  <c r="AH157" i="1"/>
  <c r="AP157" i="1" s="1"/>
  <c r="AQ157" i="1" s="1"/>
  <c r="AH158" i="1"/>
  <c r="AP158" i="1" s="1"/>
  <c r="AQ158" i="1" s="1"/>
  <c r="AH155" i="1"/>
  <c r="AP155" i="1" s="1"/>
  <c r="AQ155" i="1" s="1"/>
  <c r="AH153" i="1"/>
  <c r="AP153" i="1" s="1"/>
  <c r="AQ153" i="1" s="1"/>
  <c r="AH160" i="1"/>
  <c r="AP160" i="1" s="1"/>
  <c r="AQ160" i="1" s="1"/>
  <c r="AH161" i="1"/>
  <c r="AP161" i="1" s="1"/>
  <c r="AQ161" i="1" s="1"/>
  <c r="AH162" i="1"/>
  <c r="AP162" i="1" s="1"/>
  <c r="AQ162" i="1" s="1"/>
  <c r="AH163" i="1"/>
  <c r="AP163" i="1" s="1"/>
  <c r="AQ163" i="1" s="1"/>
  <c r="AH167" i="1"/>
  <c r="AP167" i="1" s="1"/>
  <c r="AQ167" i="1" s="1"/>
  <c r="AH168" i="1"/>
  <c r="AP168" i="1" s="1"/>
  <c r="AQ168" i="1" s="1"/>
  <c r="AH164" i="1"/>
  <c r="AP164" i="1" s="1"/>
  <c r="AQ164" i="1" s="1"/>
  <c r="AH165" i="1"/>
  <c r="AP165" i="1" s="1"/>
  <c r="AQ165" i="1" s="1"/>
  <c r="AH166" i="1"/>
  <c r="AP166" i="1" s="1"/>
  <c r="AQ166" i="1" s="1"/>
  <c r="AH198" i="1"/>
  <c r="AP198" i="1" s="1"/>
  <c r="AQ198" i="1" s="1"/>
  <c r="AH200" i="1"/>
  <c r="AP200" i="1" s="1"/>
  <c r="AQ200" i="1" s="1"/>
  <c r="AH184" i="1"/>
  <c r="AP184" i="1" s="1"/>
  <c r="AQ184" i="1" s="1"/>
  <c r="AH214" i="1"/>
  <c r="AP214" i="1" s="1"/>
  <c r="AQ214" i="1" s="1"/>
  <c r="AH173" i="1"/>
  <c r="AP173" i="1" s="1"/>
  <c r="AQ173" i="1" s="1"/>
  <c r="AH192" i="1"/>
  <c r="AP192" i="1" s="1"/>
  <c r="AQ192" i="1" s="1"/>
  <c r="AH181" i="1"/>
  <c r="AP181" i="1" s="1"/>
  <c r="AQ181" i="1" s="1"/>
  <c r="AH182" i="1"/>
  <c r="AP182" i="1" s="1"/>
  <c r="AQ182" i="1" s="1"/>
  <c r="AH196" i="1"/>
  <c r="AP196" i="1" s="1"/>
  <c r="AQ196" i="1" s="1"/>
  <c r="AH187" i="1"/>
  <c r="AP187" i="1" s="1"/>
  <c r="AQ187" i="1" s="1"/>
  <c r="AH180" i="1"/>
  <c r="AP180" i="1" s="1"/>
  <c r="AQ180" i="1" s="1"/>
  <c r="AH204" i="1"/>
  <c r="AP204" i="1" s="1"/>
  <c r="AQ204" i="1" s="1"/>
  <c r="AH219" i="1"/>
  <c r="AP219" i="1" s="1"/>
  <c r="AQ219" i="1" s="1"/>
  <c r="AH191" i="1"/>
  <c r="AP191" i="1" s="1"/>
  <c r="AQ191" i="1" s="1"/>
  <c r="AH207" i="1"/>
  <c r="AP207" i="1" s="1"/>
  <c r="AQ207" i="1" s="1"/>
  <c r="AH218" i="1"/>
  <c r="AP218" i="1" s="1"/>
  <c r="AQ218" i="1" s="1"/>
  <c r="AH177" i="1"/>
  <c r="AP177" i="1" s="1"/>
  <c r="AQ177" i="1" s="1"/>
  <c r="AH202" i="1"/>
  <c r="AP202" i="1" s="1"/>
  <c r="AQ202" i="1" s="1"/>
  <c r="AH176" i="1"/>
  <c r="AP176" i="1" s="1"/>
  <c r="AQ176" i="1" s="1"/>
  <c r="AH194" i="1"/>
  <c r="AP194" i="1" s="1"/>
  <c r="AQ194" i="1" s="1"/>
  <c r="AH220" i="1"/>
  <c r="AP220" i="1" s="1"/>
  <c r="AQ220" i="1" s="1"/>
  <c r="AH178" i="1"/>
  <c r="AP178" i="1" s="1"/>
  <c r="AQ178" i="1" s="1"/>
  <c r="AH193" i="1"/>
  <c r="AP193" i="1" s="1"/>
  <c r="AQ193" i="1" s="1"/>
  <c r="AH197" i="1"/>
  <c r="AP197" i="1" s="1"/>
  <c r="AQ197" i="1" s="1"/>
  <c r="AH172" i="1"/>
  <c r="AP172" i="1" s="1"/>
  <c r="AQ172" i="1" s="1"/>
  <c r="AH170" i="1"/>
  <c r="AP170" i="1" s="1"/>
  <c r="AQ170" i="1" s="1"/>
  <c r="AH175" i="1"/>
  <c r="AP175" i="1" s="1"/>
  <c r="AQ175" i="1" s="1"/>
  <c r="AH169" i="1"/>
  <c r="AP169" i="1" s="1"/>
  <c r="AQ169" i="1" s="1"/>
  <c r="AH212" i="1"/>
  <c r="AP212" i="1" s="1"/>
  <c r="AQ212" i="1" s="1"/>
  <c r="AH209" i="1"/>
  <c r="AP209" i="1" s="1"/>
  <c r="AQ209" i="1" s="1"/>
  <c r="AH208" i="1"/>
  <c r="AP208" i="1" s="1"/>
  <c r="AQ208" i="1" s="1"/>
  <c r="AH179" i="1"/>
  <c r="AP179" i="1" s="1"/>
  <c r="AQ179" i="1" s="1"/>
  <c r="AH188" i="1"/>
  <c r="AP188" i="1" s="1"/>
  <c r="AQ188" i="1" s="1"/>
  <c r="AH171" i="1"/>
  <c r="AP171" i="1" s="1"/>
  <c r="AQ171" i="1" s="1"/>
  <c r="AH223" i="1"/>
  <c r="AP223" i="1" s="1"/>
  <c r="AQ223" i="1" s="1"/>
  <c r="AH222" i="1"/>
  <c r="AP222" i="1" s="1"/>
  <c r="AQ222" i="1" s="1"/>
  <c r="AH213" i="1"/>
  <c r="AP213" i="1" s="1"/>
  <c r="AQ213" i="1" s="1"/>
  <c r="AH183" i="1"/>
  <c r="AP183" i="1" s="1"/>
  <c r="AQ183" i="1" s="1"/>
  <c r="AH216" i="1"/>
  <c r="AP216" i="1" s="1"/>
  <c r="AQ216" i="1" s="1"/>
  <c r="AH174" i="1"/>
  <c r="AP174" i="1" s="1"/>
  <c r="AQ174" i="1" s="1"/>
  <c r="AH201" i="1"/>
  <c r="AP201" i="1" s="1"/>
  <c r="AQ201" i="1" s="1"/>
  <c r="AH186" i="1"/>
  <c r="AP186" i="1" s="1"/>
  <c r="AQ186" i="1" s="1"/>
  <c r="AH189" i="1"/>
  <c r="AP189" i="1" s="1"/>
  <c r="AQ189" i="1" s="1"/>
  <c r="AH210" i="1"/>
  <c r="AP210" i="1" s="1"/>
  <c r="AQ210" i="1" s="1"/>
  <c r="AH205" i="1"/>
  <c r="AP205" i="1" s="1"/>
  <c r="AQ205" i="1" s="1"/>
  <c r="AH211" i="1"/>
  <c r="AP211" i="1" s="1"/>
  <c r="AQ211" i="1" s="1"/>
  <c r="AH195" i="1"/>
  <c r="AP195" i="1" s="1"/>
  <c r="AQ195" i="1" s="1"/>
  <c r="AH190" i="1"/>
  <c r="AP190" i="1" s="1"/>
  <c r="AQ190" i="1" s="1"/>
  <c r="AH206" i="1"/>
  <c r="AP206" i="1" s="1"/>
  <c r="AQ206" i="1" s="1"/>
  <c r="AH203" i="1"/>
  <c r="AP203" i="1" s="1"/>
  <c r="AQ203" i="1" s="1"/>
  <c r="AH217" i="1"/>
  <c r="AP217" i="1" s="1"/>
  <c r="AQ217" i="1" s="1"/>
  <c r="AH199" i="1"/>
  <c r="AP199" i="1" s="1"/>
  <c r="AQ199" i="1" s="1"/>
  <c r="AH185" i="1"/>
  <c r="AP185" i="1" s="1"/>
  <c r="AQ185" i="1" s="1"/>
  <c r="AH221" i="1"/>
  <c r="AP221" i="1" s="1"/>
  <c r="AQ221" i="1" s="1"/>
  <c r="AH215" i="1"/>
  <c r="AP215" i="1" s="1"/>
  <c r="AQ215" i="1" s="1"/>
  <c r="AH18" i="1"/>
  <c r="AP18" i="1" s="1"/>
  <c r="AQ18" i="1" s="1"/>
  <c r="AQ224" i="1" l="1"/>
  <c r="J224" i="1"/>
  <c r="R40" i="3"/>
  <c r="R41" i="3" s="1"/>
  <c r="B8" i="4"/>
  <c r="K238" i="2"/>
  <c r="AQ225" i="1" l="1"/>
  <c r="AQ226" i="1" s="1"/>
  <c r="C8" i="4"/>
  <c r="E8" i="4" s="1"/>
  <c r="B18" i="4"/>
  <c r="C18" i="4" s="1"/>
  <c r="E18" i="4" s="1"/>
  <c r="F60" i="1"/>
  <c r="F159" i="1"/>
  <c r="F196" i="1"/>
  <c r="F200" i="1"/>
  <c r="F181" i="1"/>
  <c r="F191" i="1"/>
  <c r="F97" i="1"/>
  <c r="F106" i="1"/>
  <c r="F113" i="1"/>
  <c r="F147" i="1"/>
  <c r="F154" i="1"/>
  <c r="F155" i="1"/>
  <c r="F177" i="1"/>
  <c r="F202" i="1"/>
  <c r="F54" i="1"/>
  <c r="F188" i="1"/>
  <c r="F156" i="1"/>
  <c r="F180" i="1"/>
  <c r="F220" i="1"/>
  <c r="F205" i="1"/>
  <c r="F129" i="1"/>
  <c r="F142" i="1"/>
  <c r="F171" i="1"/>
  <c r="F94" i="1"/>
  <c r="F104" i="1"/>
  <c r="F186" i="1"/>
  <c r="F207" i="1"/>
  <c r="F199" i="1"/>
  <c r="F168" i="1"/>
  <c r="F111" i="1"/>
  <c r="F173" i="1"/>
  <c r="F123" i="1"/>
  <c r="F138" i="1"/>
  <c r="F195" i="1"/>
  <c r="F151" i="1"/>
  <c r="F112" i="1"/>
  <c r="F223" i="1"/>
  <c r="F172" i="1"/>
  <c r="F107" i="1"/>
  <c r="F219" i="1"/>
  <c r="F215" i="1"/>
  <c r="F163" i="1"/>
  <c r="F70" i="1"/>
  <c r="F117" i="1"/>
  <c r="F93" i="1"/>
  <c r="F178" i="1"/>
  <c r="F158" i="1"/>
  <c r="F179" i="1"/>
  <c r="F63" i="1"/>
  <c r="F218" i="1"/>
  <c r="F56" i="1"/>
  <c r="F212" i="1"/>
  <c r="F32" i="1"/>
  <c r="F31" i="1"/>
  <c r="F131" i="1"/>
  <c r="F153" i="1"/>
  <c r="F86" i="1"/>
  <c r="F57" i="1"/>
  <c r="F96" i="1"/>
  <c r="F133" i="1"/>
  <c r="F164" i="1"/>
  <c r="F167" i="1"/>
  <c r="F176" i="1"/>
  <c r="F75" i="1"/>
  <c r="F130" i="1"/>
  <c r="F146" i="1"/>
  <c r="F102" i="1"/>
  <c r="F84" i="1"/>
  <c r="F73" i="1"/>
  <c r="F109" i="1"/>
  <c r="F98" i="1"/>
  <c r="F137" i="1"/>
  <c r="F68" i="1"/>
  <c r="F165" i="1"/>
  <c r="F222" i="1"/>
  <c r="F209" i="1"/>
  <c r="F88" i="1"/>
  <c r="F127" i="1"/>
  <c r="F190" i="1"/>
  <c r="F189" i="1"/>
  <c r="F148" i="1"/>
  <c r="F210" i="1"/>
  <c r="F206" i="1"/>
  <c r="F184" i="1"/>
  <c r="F141" i="1"/>
  <c r="F203" i="1"/>
  <c r="F221" i="1"/>
  <c r="F124" i="1"/>
  <c r="F92" i="1"/>
  <c r="F51" i="1"/>
  <c r="F83" i="1"/>
  <c r="F72" i="1"/>
  <c r="F110" i="1"/>
  <c r="F87" i="1"/>
  <c r="F208" i="1"/>
  <c r="F132" i="1"/>
  <c r="F116" i="1"/>
  <c r="F82" i="1"/>
  <c r="F150" i="1"/>
  <c r="F162" i="1"/>
  <c r="F193" i="1"/>
  <c r="F187" i="1"/>
  <c r="F211" i="1"/>
  <c r="F169" i="1"/>
  <c r="F100" i="1"/>
  <c r="F128" i="1"/>
  <c r="F166" i="1"/>
  <c r="F174" i="1"/>
  <c r="F80" i="1"/>
  <c r="F121" i="1"/>
  <c r="F140" i="1"/>
  <c r="F197" i="1"/>
  <c r="F157" i="1"/>
  <c r="F79" i="1"/>
  <c r="F120" i="1"/>
  <c r="F95" i="1"/>
  <c r="F114" i="1"/>
  <c r="F217" i="1"/>
  <c r="F216" i="1"/>
  <c r="F134" i="1"/>
  <c r="F204" i="1"/>
  <c r="F192" i="1"/>
  <c r="F214" i="1"/>
  <c r="F201" i="1"/>
  <c r="F115" i="1"/>
  <c r="F101" i="1"/>
  <c r="F143" i="1"/>
  <c r="F44" i="1"/>
  <c r="F71" i="1"/>
  <c r="F185" i="1"/>
  <c r="F149" i="1"/>
  <c r="F105" i="1"/>
  <c r="F160" i="1"/>
  <c r="F64" i="1"/>
  <c r="F135" i="1"/>
  <c r="F58" i="1"/>
  <c r="F194" i="1"/>
  <c r="F183" i="1"/>
  <c r="F170" i="1"/>
  <c r="F182" i="1"/>
  <c r="F122" i="1"/>
  <c r="F77" i="1"/>
  <c r="F81" i="1"/>
  <c r="F198" i="1"/>
  <c r="F175" i="1"/>
  <c r="F125" i="1"/>
  <c r="F136" i="1"/>
  <c r="F45" i="1"/>
  <c r="F55" i="1"/>
  <c r="F103" i="1"/>
  <c r="F59" i="1"/>
  <c r="F36" i="1"/>
  <c r="F108" i="1"/>
  <c r="F21" i="1"/>
  <c r="F62" i="1"/>
  <c r="F30" i="1"/>
  <c r="F33" i="1"/>
  <c r="F61" i="1"/>
  <c r="F40" i="1"/>
  <c r="F29" i="1"/>
  <c r="F65" i="1"/>
  <c r="F145" i="1"/>
  <c r="F43" i="1"/>
  <c r="F69" i="1"/>
  <c r="F126" i="1"/>
  <c r="F26" i="1"/>
  <c r="F47" i="1"/>
  <c r="F23" i="1"/>
  <c r="F52" i="1"/>
  <c r="F144" i="1"/>
  <c r="F27" i="1"/>
  <c r="F49" i="1"/>
  <c r="F50" i="1"/>
  <c r="F22" i="1"/>
  <c r="F19" i="1"/>
  <c r="F25" i="1"/>
  <c r="F18" i="1"/>
  <c r="F91" i="1"/>
  <c r="F85" i="1"/>
  <c r="F74" i="1"/>
  <c r="F28" i="1"/>
  <c r="F34" i="1"/>
  <c r="F20" i="1"/>
  <c r="F161" i="1"/>
  <c r="F152" i="1"/>
  <c r="F90" i="1"/>
  <c r="F39" i="1"/>
  <c r="F119" i="1"/>
  <c r="F24" i="1"/>
  <c r="F46" i="1"/>
  <c r="F38" i="1"/>
  <c r="F35" i="1"/>
  <c r="F89" i="1"/>
  <c r="F66" i="1"/>
  <c r="F78" i="1"/>
  <c r="F53" i="1"/>
  <c r="F41" i="1"/>
  <c r="F76" i="1"/>
  <c r="F67" i="1"/>
  <c r="F118" i="1"/>
  <c r="F48" i="1"/>
  <c r="F37" i="1"/>
  <c r="F139" i="1"/>
  <c r="F99" i="1"/>
  <c r="F42" i="1"/>
  <c r="G12" i="1"/>
  <c r="E12" i="1"/>
  <c r="G11" i="1"/>
  <c r="K11" i="1" s="1"/>
  <c r="C11" i="1"/>
  <c r="E11" i="1" s="1"/>
  <c r="C10" i="1"/>
  <c r="E10" i="1" s="1"/>
  <c r="K10" i="1" s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14" i="2"/>
  <c r="K12" i="1" l="1"/>
  <c r="V18" i="1" s="1"/>
  <c r="W18" i="1" s="1"/>
  <c r="F224" i="1"/>
  <c r="F226" i="1" s="1"/>
  <c r="AJ62" i="1"/>
  <c r="AJ21" i="1"/>
  <c r="AJ26" i="1"/>
  <c r="AJ30" i="1"/>
  <c r="AJ39" i="1"/>
  <c r="AJ40" i="1"/>
  <c r="AJ41" i="1"/>
  <c r="AJ56" i="1"/>
  <c r="AJ53" i="1"/>
  <c r="AJ60" i="1"/>
  <c r="AJ47" i="1"/>
  <c r="AJ64" i="1"/>
  <c r="AJ70" i="1"/>
  <c r="AJ72" i="1"/>
  <c r="AJ88" i="1"/>
  <c r="AJ84" i="1"/>
  <c r="AJ79" i="1"/>
  <c r="AJ91" i="1"/>
  <c r="AJ96" i="1"/>
  <c r="AJ97" i="1"/>
  <c r="AJ106" i="1"/>
  <c r="AJ103" i="1"/>
  <c r="AJ100" i="1"/>
  <c r="AJ115" i="1"/>
  <c r="AJ117" i="1"/>
  <c r="AJ120" i="1"/>
  <c r="AJ132" i="1"/>
  <c r="AJ131" i="1"/>
  <c r="AJ133" i="1"/>
  <c r="AJ140" i="1"/>
  <c r="AJ146" i="1"/>
  <c r="AJ136" i="1"/>
  <c r="AJ148" i="1"/>
  <c r="AJ152" i="1"/>
  <c r="AJ158" i="1"/>
  <c r="AJ161" i="1"/>
  <c r="AJ168" i="1"/>
  <c r="AJ198" i="1"/>
  <c r="AJ173" i="1"/>
  <c r="AJ196" i="1"/>
  <c r="AJ219" i="1"/>
  <c r="AJ177" i="1"/>
  <c r="AJ220" i="1"/>
  <c r="AJ172" i="1"/>
  <c r="AJ212" i="1"/>
  <c r="AJ188" i="1"/>
  <c r="AJ213" i="1"/>
  <c r="AJ201" i="1"/>
  <c r="AJ205" i="1"/>
  <c r="AJ206" i="1"/>
  <c r="AJ185" i="1"/>
  <c r="AJ19" i="1"/>
  <c r="AJ24" i="1"/>
  <c r="AJ27" i="1"/>
  <c r="AJ31" i="1"/>
  <c r="AJ36" i="1"/>
  <c r="AJ34" i="1"/>
  <c r="AJ42" i="1"/>
  <c r="AJ49" i="1"/>
  <c r="AJ61" i="1"/>
  <c r="AJ59" i="1"/>
  <c r="AJ55" i="1"/>
  <c r="AJ67" i="1"/>
  <c r="AJ66" i="1"/>
  <c r="AJ69" i="1"/>
  <c r="AJ71" i="1"/>
  <c r="AJ87" i="1"/>
  <c r="AJ86" i="1"/>
  <c r="AJ78" i="1"/>
  <c r="AJ90" i="1"/>
  <c r="AJ94" i="1"/>
  <c r="AJ105" i="1"/>
  <c r="AJ104" i="1"/>
  <c r="AJ102" i="1"/>
  <c r="AJ111" i="1"/>
  <c r="AJ114" i="1"/>
  <c r="AJ119" i="1"/>
  <c r="AJ122" i="1"/>
  <c r="AJ124" i="1"/>
  <c r="AJ129" i="1"/>
  <c r="AJ134" i="1"/>
  <c r="AJ144" i="1"/>
  <c r="AJ139" i="1"/>
  <c r="AJ137" i="1"/>
  <c r="AJ150" i="1"/>
  <c r="AJ156" i="1"/>
  <c r="AJ155" i="1"/>
  <c r="AJ162" i="1"/>
  <c r="AJ164" i="1"/>
  <c r="AJ200" i="1"/>
  <c r="AJ192" i="1"/>
  <c r="AJ187" i="1"/>
  <c r="AJ191" i="1"/>
  <c r="AJ202" i="1"/>
  <c r="AJ178" i="1"/>
  <c r="AJ170" i="1"/>
  <c r="AJ209" i="1"/>
  <c r="AJ171" i="1"/>
  <c r="AJ183" i="1"/>
  <c r="AJ186" i="1"/>
  <c r="AJ211" i="1"/>
  <c r="AJ203" i="1"/>
  <c r="AJ221" i="1"/>
  <c r="AJ20" i="1"/>
  <c r="AJ25" i="1"/>
  <c r="AJ28" i="1"/>
  <c r="AJ32" i="1"/>
  <c r="AJ37" i="1"/>
  <c r="AJ35" i="1"/>
  <c r="AJ45" i="1"/>
  <c r="AJ57" i="1"/>
  <c r="AJ54" i="1"/>
  <c r="AJ48" i="1"/>
  <c r="AJ46" i="1"/>
  <c r="AJ65" i="1"/>
  <c r="AJ63" i="1"/>
  <c r="AJ74" i="1"/>
  <c r="AJ73" i="1"/>
  <c r="AJ89" i="1"/>
  <c r="AJ83" i="1"/>
  <c r="AJ81" i="1"/>
  <c r="AJ92" i="1"/>
  <c r="AJ95" i="1"/>
  <c r="AJ107" i="1"/>
  <c r="AJ109" i="1"/>
  <c r="AJ99" i="1"/>
  <c r="AJ110" i="1"/>
  <c r="AJ113" i="1"/>
  <c r="AJ118" i="1"/>
  <c r="AJ127" i="1"/>
  <c r="AJ125" i="1"/>
  <c r="AJ123" i="1"/>
  <c r="AJ135" i="1"/>
  <c r="AJ143" i="1"/>
  <c r="AJ138" i="1"/>
  <c r="AJ151" i="1"/>
  <c r="AJ147" i="1"/>
  <c r="AJ159" i="1"/>
  <c r="AJ153" i="1"/>
  <c r="AJ163" i="1"/>
  <c r="AJ165" i="1"/>
  <c r="AJ184" i="1"/>
  <c r="AJ181" i="1"/>
  <c r="AJ180" i="1"/>
  <c r="AJ207" i="1"/>
  <c r="AJ176" i="1"/>
  <c r="AJ193" i="1"/>
  <c r="AJ175" i="1"/>
  <c r="AJ208" i="1"/>
  <c r="AJ223" i="1"/>
  <c r="AJ216" i="1"/>
  <c r="AJ189" i="1"/>
  <c r="AJ195" i="1"/>
  <c r="AJ217" i="1"/>
  <c r="AJ215" i="1"/>
  <c r="AJ22" i="1"/>
  <c r="AJ23" i="1"/>
  <c r="AJ29" i="1"/>
  <c r="AJ33" i="1"/>
  <c r="AJ38" i="1"/>
  <c r="AJ44" i="1"/>
  <c r="AJ43" i="1"/>
  <c r="AJ52" i="1"/>
  <c r="AJ50" i="1"/>
  <c r="AJ58" i="1"/>
  <c r="AJ51" i="1"/>
  <c r="AJ68" i="1"/>
  <c r="AJ76" i="1"/>
  <c r="AJ75" i="1"/>
  <c r="AJ85" i="1"/>
  <c r="AJ77" i="1"/>
  <c r="AJ82" i="1"/>
  <c r="AJ80" i="1"/>
  <c r="AJ93" i="1"/>
  <c r="AJ98" i="1"/>
  <c r="AJ108" i="1"/>
  <c r="AJ101" i="1"/>
  <c r="AJ112" i="1"/>
  <c r="AJ116" i="1"/>
  <c r="AJ121" i="1"/>
  <c r="AJ130" i="1"/>
  <c r="AJ128" i="1"/>
  <c r="AJ126" i="1"/>
  <c r="AJ145" i="1"/>
  <c r="AJ142" i="1"/>
  <c r="AJ141" i="1"/>
  <c r="AJ149" i="1"/>
  <c r="AJ154" i="1"/>
  <c r="AJ157" i="1"/>
  <c r="AJ160" i="1"/>
  <c r="AJ167" i="1"/>
  <c r="AJ166" i="1"/>
  <c r="AJ214" i="1"/>
  <c r="AJ182" i="1"/>
  <c r="AJ204" i="1"/>
  <c r="AJ218" i="1"/>
  <c r="AJ194" i="1"/>
  <c r="AJ197" i="1"/>
  <c r="AJ169" i="1"/>
  <c r="AN169" i="1" s="1"/>
  <c r="AJ179" i="1"/>
  <c r="AJ222" i="1"/>
  <c r="AJ174" i="1"/>
  <c r="AJ210" i="1"/>
  <c r="AJ190" i="1"/>
  <c r="AJ199" i="1"/>
  <c r="AJ18" i="1"/>
  <c r="X225" i="1"/>
  <c r="G238" i="2"/>
  <c r="E238" i="2"/>
  <c r="F238" i="2"/>
  <c r="U238" i="2"/>
  <c r="D238" i="2"/>
  <c r="R15" i="5" l="1"/>
  <c r="N6" i="5"/>
  <c r="R27" i="5"/>
  <c r="N24" i="5"/>
  <c r="R9" i="5"/>
  <c r="R25" i="5"/>
  <c r="N15" i="5"/>
  <c r="R24" i="5"/>
  <c r="N17" i="5"/>
  <c r="N12" i="5"/>
  <c r="R21" i="5"/>
  <c r="R6" i="5"/>
  <c r="R22" i="5"/>
  <c r="N13" i="5"/>
  <c r="R17" i="5"/>
  <c r="N26" i="5"/>
  <c r="N28" i="5"/>
  <c r="N8" i="5"/>
  <c r="R11" i="5"/>
  <c r="N27" i="5"/>
  <c r="N11" i="5"/>
  <c r="R14" i="5"/>
  <c r="N22" i="5"/>
  <c r="R19" i="5"/>
  <c r="N25" i="5"/>
  <c r="N9" i="5"/>
  <c r="R12" i="5"/>
  <c r="N18" i="5"/>
  <c r="N20" i="5"/>
  <c r="R8" i="5"/>
  <c r="R18" i="5"/>
  <c r="N23" i="5"/>
  <c r="N7" i="5"/>
  <c r="R10" i="5"/>
  <c r="N14" i="5"/>
  <c r="R13" i="5"/>
  <c r="N21" i="5"/>
  <c r="R7" i="5"/>
  <c r="R16" i="5"/>
  <c r="N10" i="5"/>
  <c r="N16" i="5"/>
  <c r="R23" i="5"/>
  <c r="R28" i="5"/>
  <c r="N19" i="5"/>
  <c r="R26" i="5"/>
  <c r="R20" i="5"/>
  <c r="V72" i="1"/>
  <c r="AJ224" i="1"/>
  <c r="AL224" i="1" s="1"/>
  <c r="D16" i="4"/>
  <c r="D19" i="4" s="1"/>
  <c r="D25" i="4"/>
  <c r="D28" i="4" s="1"/>
  <c r="D6" i="4"/>
  <c r="D9" i="4" s="1"/>
  <c r="AL167" i="1"/>
  <c r="AN167" i="1"/>
  <c r="AL126" i="1"/>
  <c r="AN126" i="1"/>
  <c r="AL98" i="1"/>
  <c r="AN98" i="1"/>
  <c r="AL68" i="1"/>
  <c r="AN68" i="1"/>
  <c r="AL33" i="1"/>
  <c r="AN33" i="1"/>
  <c r="AL216" i="1"/>
  <c r="AN216" i="1"/>
  <c r="AL181" i="1"/>
  <c r="AN181" i="1"/>
  <c r="AL153" i="1"/>
  <c r="AN153" i="1"/>
  <c r="AL125" i="1"/>
  <c r="AN125" i="1"/>
  <c r="AL110" i="1"/>
  <c r="AN110" i="1"/>
  <c r="AL89" i="1"/>
  <c r="AN89" i="1"/>
  <c r="AL65" i="1"/>
  <c r="AN65" i="1"/>
  <c r="AL57" i="1"/>
  <c r="AN57" i="1"/>
  <c r="AL32" i="1"/>
  <c r="AN32" i="1"/>
  <c r="AL221" i="1"/>
  <c r="AN221" i="1"/>
  <c r="AL183" i="1"/>
  <c r="AN183" i="1"/>
  <c r="AL178" i="1"/>
  <c r="AN178" i="1"/>
  <c r="AL192" i="1"/>
  <c r="AN192" i="1"/>
  <c r="AL155" i="1"/>
  <c r="AN155" i="1"/>
  <c r="AL139" i="1"/>
  <c r="AN139" i="1"/>
  <c r="AL124" i="1"/>
  <c r="AN124" i="1"/>
  <c r="AL111" i="1"/>
  <c r="AN111" i="1"/>
  <c r="AL94" i="1"/>
  <c r="AN94" i="1"/>
  <c r="AL87" i="1"/>
  <c r="AN87" i="1"/>
  <c r="AL67" i="1"/>
  <c r="AN67" i="1"/>
  <c r="AL49" i="1"/>
  <c r="AN49" i="1"/>
  <c r="AL31" i="1"/>
  <c r="AN31" i="1"/>
  <c r="AL185" i="1"/>
  <c r="AN185" i="1"/>
  <c r="AL213" i="1"/>
  <c r="AN213" i="1"/>
  <c r="AL220" i="1"/>
  <c r="AN220" i="1"/>
  <c r="AL173" i="1"/>
  <c r="AN173" i="1"/>
  <c r="AL158" i="1"/>
  <c r="AN158" i="1"/>
  <c r="AL146" i="1"/>
  <c r="AN146" i="1"/>
  <c r="AL132" i="1"/>
  <c r="AN132" i="1"/>
  <c r="AL100" i="1"/>
  <c r="AN100" i="1"/>
  <c r="AL96" i="1"/>
  <c r="AN96" i="1"/>
  <c r="AL88" i="1"/>
  <c r="AN88" i="1"/>
  <c r="AL47" i="1"/>
  <c r="AN47" i="1"/>
  <c r="AL56" i="1"/>
  <c r="AN56" i="1"/>
  <c r="AL30" i="1"/>
  <c r="AN30" i="1"/>
  <c r="AL18" i="1"/>
  <c r="AL174" i="1"/>
  <c r="AN174" i="1"/>
  <c r="AL197" i="1"/>
  <c r="AN197" i="1"/>
  <c r="AL182" i="1"/>
  <c r="AN182" i="1"/>
  <c r="AL160" i="1"/>
  <c r="AN160" i="1"/>
  <c r="AL141" i="1"/>
  <c r="AN141" i="1"/>
  <c r="AL128" i="1"/>
  <c r="AN128" i="1"/>
  <c r="AL112" i="1"/>
  <c r="AN112" i="1"/>
  <c r="AL93" i="1"/>
  <c r="AN93" i="1"/>
  <c r="AL85" i="1"/>
  <c r="AN85" i="1"/>
  <c r="AL51" i="1"/>
  <c r="AN51" i="1"/>
  <c r="AL43" i="1"/>
  <c r="AN43" i="1"/>
  <c r="AL29" i="1"/>
  <c r="AN29" i="1"/>
  <c r="AL217" i="1"/>
  <c r="AN217" i="1"/>
  <c r="AL223" i="1"/>
  <c r="AN223" i="1"/>
  <c r="AL176" i="1"/>
  <c r="AN176" i="1"/>
  <c r="AL184" i="1"/>
  <c r="AN184" i="1"/>
  <c r="AL159" i="1"/>
  <c r="AN159" i="1"/>
  <c r="AL143" i="1"/>
  <c r="AN143" i="1"/>
  <c r="AL127" i="1"/>
  <c r="AN127" i="1"/>
  <c r="AL99" i="1"/>
  <c r="AN99" i="1"/>
  <c r="AL92" i="1"/>
  <c r="AN92" i="1"/>
  <c r="AL73" i="1"/>
  <c r="AN73" i="1"/>
  <c r="AL46" i="1"/>
  <c r="AN46" i="1"/>
  <c r="AL45" i="1"/>
  <c r="AN45" i="1"/>
  <c r="AL28" i="1"/>
  <c r="AN28" i="1"/>
  <c r="AL203" i="1"/>
  <c r="AN203" i="1"/>
  <c r="AL171" i="1"/>
  <c r="AN171" i="1"/>
  <c r="AL202" i="1"/>
  <c r="AN202" i="1"/>
  <c r="AL200" i="1"/>
  <c r="AN200" i="1"/>
  <c r="AL156" i="1"/>
  <c r="AN156" i="1"/>
  <c r="AL144" i="1"/>
  <c r="AN144" i="1"/>
  <c r="AL122" i="1"/>
  <c r="AN122" i="1"/>
  <c r="AL102" i="1"/>
  <c r="AN102" i="1"/>
  <c r="AL90" i="1"/>
  <c r="AN90" i="1"/>
  <c r="AL71" i="1"/>
  <c r="AN71" i="1"/>
  <c r="AL55" i="1"/>
  <c r="AN55" i="1"/>
  <c r="AL42" i="1"/>
  <c r="AN42" i="1"/>
  <c r="AL27" i="1"/>
  <c r="AN27" i="1"/>
  <c r="AL206" i="1"/>
  <c r="AN206" i="1"/>
  <c r="AL188" i="1"/>
  <c r="AN188" i="1"/>
  <c r="AL177" i="1"/>
  <c r="AN177" i="1"/>
  <c r="AL198" i="1"/>
  <c r="AN198" i="1"/>
  <c r="AL152" i="1"/>
  <c r="AN152" i="1"/>
  <c r="AL140" i="1"/>
  <c r="AN140" i="1"/>
  <c r="AL120" i="1"/>
  <c r="AN120" i="1"/>
  <c r="AL103" i="1"/>
  <c r="AN103" i="1"/>
  <c r="AL91" i="1"/>
  <c r="AN91" i="1"/>
  <c r="AL72" i="1"/>
  <c r="AN72" i="1"/>
  <c r="AL41" i="1"/>
  <c r="AN41" i="1"/>
  <c r="AL26" i="1"/>
  <c r="AN26" i="1"/>
  <c r="AL210" i="1"/>
  <c r="AN210" i="1"/>
  <c r="AL204" i="1"/>
  <c r="AN204" i="1"/>
  <c r="AL149" i="1"/>
  <c r="AN149" i="1"/>
  <c r="AL116" i="1"/>
  <c r="AN116" i="1"/>
  <c r="AL77" i="1"/>
  <c r="AN77" i="1"/>
  <c r="AL52" i="1"/>
  <c r="AN52" i="1"/>
  <c r="AL215" i="1"/>
  <c r="AN215" i="1"/>
  <c r="AL193" i="1"/>
  <c r="AN193" i="1"/>
  <c r="AL138" i="1"/>
  <c r="AN138" i="1"/>
  <c r="AL95" i="1"/>
  <c r="AN95" i="1"/>
  <c r="AL199" i="1"/>
  <c r="AN199" i="1"/>
  <c r="AL222" i="1"/>
  <c r="AN222" i="1"/>
  <c r="AL194" i="1"/>
  <c r="AN194" i="1"/>
  <c r="AL214" i="1"/>
  <c r="AN214" i="1"/>
  <c r="AL157" i="1"/>
  <c r="AN157" i="1"/>
  <c r="AL142" i="1"/>
  <c r="AN142" i="1"/>
  <c r="AL130" i="1"/>
  <c r="AN130" i="1"/>
  <c r="AL101" i="1"/>
  <c r="AN101" i="1"/>
  <c r="AL80" i="1"/>
  <c r="AN80" i="1"/>
  <c r="AL75" i="1"/>
  <c r="AN75" i="1"/>
  <c r="AL58" i="1"/>
  <c r="AN58" i="1"/>
  <c r="AL44" i="1"/>
  <c r="AN44" i="1"/>
  <c r="AL23" i="1"/>
  <c r="AN23" i="1"/>
  <c r="AL195" i="1"/>
  <c r="AN195" i="1"/>
  <c r="AL208" i="1"/>
  <c r="AN208" i="1"/>
  <c r="AL207" i="1"/>
  <c r="AN207" i="1"/>
  <c r="AL165" i="1"/>
  <c r="AN165" i="1"/>
  <c r="AL147" i="1"/>
  <c r="AN147" i="1"/>
  <c r="AL118" i="1"/>
  <c r="AN118" i="1"/>
  <c r="AL109" i="1"/>
  <c r="AN109" i="1"/>
  <c r="AL81" i="1"/>
  <c r="AN81" i="1"/>
  <c r="AL74" i="1"/>
  <c r="AN74" i="1"/>
  <c r="AL48" i="1"/>
  <c r="AN48" i="1"/>
  <c r="AL35" i="1"/>
  <c r="AN35" i="1"/>
  <c r="AL25" i="1"/>
  <c r="AN25" i="1"/>
  <c r="AL211" i="1"/>
  <c r="AN211" i="1"/>
  <c r="AL209" i="1"/>
  <c r="AN209" i="1"/>
  <c r="AL191" i="1"/>
  <c r="AN191" i="1"/>
  <c r="AL164" i="1"/>
  <c r="AN164" i="1"/>
  <c r="AL150" i="1"/>
  <c r="AN150" i="1"/>
  <c r="AL134" i="1"/>
  <c r="AN134" i="1"/>
  <c r="AL119" i="1"/>
  <c r="AN119" i="1"/>
  <c r="AL104" i="1"/>
  <c r="AN104" i="1"/>
  <c r="AL78" i="1"/>
  <c r="AN78" i="1"/>
  <c r="AL69" i="1"/>
  <c r="AN69" i="1"/>
  <c r="AL59" i="1"/>
  <c r="AN59" i="1"/>
  <c r="AL34" i="1"/>
  <c r="AN34" i="1"/>
  <c r="AL24" i="1"/>
  <c r="AN24" i="1"/>
  <c r="AL205" i="1"/>
  <c r="AN205" i="1"/>
  <c r="AL212" i="1"/>
  <c r="AN212" i="1"/>
  <c r="AL219" i="1"/>
  <c r="AN219" i="1"/>
  <c r="AL168" i="1"/>
  <c r="AN168" i="1"/>
  <c r="AL148" i="1"/>
  <c r="AN148" i="1"/>
  <c r="AL133" i="1"/>
  <c r="AN133" i="1"/>
  <c r="AL117" i="1"/>
  <c r="AN117" i="1"/>
  <c r="AL106" i="1"/>
  <c r="AN106" i="1"/>
  <c r="AL79" i="1"/>
  <c r="AN79" i="1"/>
  <c r="AL70" i="1"/>
  <c r="AN70" i="1"/>
  <c r="AL60" i="1"/>
  <c r="AN60" i="1"/>
  <c r="AL40" i="1"/>
  <c r="AN40" i="1"/>
  <c r="AL21" i="1"/>
  <c r="AN21" i="1"/>
  <c r="AL135" i="1"/>
  <c r="AL190" i="1"/>
  <c r="AN190" i="1"/>
  <c r="AL179" i="1"/>
  <c r="AN179" i="1"/>
  <c r="AL218" i="1"/>
  <c r="AN218" i="1"/>
  <c r="AL166" i="1"/>
  <c r="AN166" i="1"/>
  <c r="AL154" i="1"/>
  <c r="AN154" i="1"/>
  <c r="AL145" i="1"/>
  <c r="AN145" i="1"/>
  <c r="AL121" i="1"/>
  <c r="AN121" i="1"/>
  <c r="AL108" i="1"/>
  <c r="AN108" i="1"/>
  <c r="AL82" i="1"/>
  <c r="AN82" i="1"/>
  <c r="AL76" i="1"/>
  <c r="AN76" i="1"/>
  <c r="AL50" i="1"/>
  <c r="AN50" i="1"/>
  <c r="AL38" i="1"/>
  <c r="AN38" i="1"/>
  <c r="AL22" i="1"/>
  <c r="AN22" i="1"/>
  <c r="AL189" i="1"/>
  <c r="AN189" i="1"/>
  <c r="AL175" i="1"/>
  <c r="AN175" i="1"/>
  <c r="AL180" i="1"/>
  <c r="AN180" i="1"/>
  <c r="AL163" i="1"/>
  <c r="AN163" i="1"/>
  <c r="AL151" i="1"/>
  <c r="AN151" i="1"/>
  <c r="AL123" i="1"/>
  <c r="AN123" i="1"/>
  <c r="AL113" i="1"/>
  <c r="AN113" i="1"/>
  <c r="AL107" i="1"/>
  <c r="AN107" i="1"/>
  <c r="AL83" i="1"/>
  <c r="AN83" i="1"/>
  <c r="AL63" i="1"/>
  <c r="AN63" i="1"/>
  <c r="AL54" i="1"/>
  <c r="AN54" i="1"/>
  <c r="AL37" i="1"/>
  <c r="AN37" i="1"/>
  <c r="AL20" i="1"/>
  <c r="AN20" i="1"/>
  <c r="AL186" i="1"/>
  <c r="AN186" i="1"/>
  <c r="AL170" i="1"/>
  <c r="AN170" i="1"/>
  <c r="AL187" i="1"/>
  <c r="AN187" i="1"/>
  <c r="AL162" i="1"/>
  <c r="AN162" i="1"/>
  <c r="AL137" i="1"/>
  <c r="AN137" i="1"/>
  <c r="AL129" i="1"/>
  <c r="AN129" i="1"/>
  <c r="AL114" i="1"/>
  <c r="AN114" i="1"/>
  <c r="AL105" i="1"/>
  <c r="AN105" i="1"/>
  <c r="AL86" i="1"/>
  <c r="AN86" i="1"/>
  <c r="AL66" i="1"/>
  <c r="AN66" i="1"/>
  <c r="AL61" i="1"/>
  <c r="AN61" i="1"/>
  <c r="AL36" i="1"/>
  <c r="AN36" i="1"/>
  <c r="AL19" i="1"/>
  <c r="AN19" i="1"/>
  <c r="AL201" i="1"/>
  <c r="AN201" i="1"/>
  <c r="AL172" i="1"/>
  <c r="AN172" i="1"/>
  <c r="AL196" i="1"/>
  <c r="AN196" i="1"/>
  <c r="AL161" i="1"/>
  <c r="AN161" i="1"/>
  <c r="AL136" i="1"/>
  <c r="AN136" i="1"/>
  <c r="AL131" i="1"/>
  <c r="AN131" i="1"/>
  <c r="AL115" i="1"/>
  <c r="AN115" i="1"/>
  <c r="AL97" i="1"/>
  <c r="AN97" i="1"/>
  <c r="AL84" i="1"/>
  <c r="AN84" i="1"/>
  <c r="AL64" i="1"/>
  <c r="AN64" i="1"/>
  <c r="AL53" i="1"/>
  <c r="AN53" i="1"/>
  <c r="AL39" i="1"/>
  <c r="AN39" i="1"/>
  <c r="AL62" i="1"/>
  <c r="AL169" i="1"/>
  <c r="V27" i="1"/>
  <c r="W27" i="1" s="1"/>
  <c r="V42" i="1"/>
  <c r="V91" i="1"/>
  <c r="W91" i="1" s="1"/>
  <c r="V103" i="1"/>
  <c r="V132" i="1"/>
  <c r="W132" i="1" s="1"/>
  <c r="V158" i="1"/>
  <c r="V220" i="1"/>
  <c r="W220" i="1" s="1"/>
  <c r="V185" i="1"/>
  <c r="V32" i="1"/>
  <c r="W32" i="1" s="1"/>
  <c r="V49" i="1"/>
  <c r="V67" i="1"/>
  <c r="W67" i="1" s="1"/>
  <c r="V87" i="1"/>
  <c r="V94" i="1"/>
  <c r="V111" i="1"/>
  <c r="W111" i="1" s="1"/>
  <c r="V124" i="1"/>
  <c r="W124" i="1" s="1"/>
  <c r="V139" i="1"/>
  <c r="W139" i="1" s="1"/>
  <c r="V155" i="1"/>
  <c r="V192" i="1"/>
  <c r="W192" i="1" s="1"/>
  <c r="V178" i="1"/>
  <c r="W178" i="1" s="1"/>
  <c r="V183" i="1"/>
  <c r="W183" i="1" s="1"/>
  <c r="V221" i="1"/>
  <c r="V143" i="1"/>
  <c r="V184" i="1"/>
  <c r="W184" i="1" s="1"/>
  <c r="V223" i="1"/>
  <c r="V23" i="1"/>
  <c r="V44" i="1"/>
  <c r="W44" i="1" s="1"/>
  <c r="V48" i="1"/>
  <c r="W48" i="1" s="1"/>
  <c r="V74" i="1"/>
  <c r="W74" i="1" s="1"/>
  <c r="V81" i="1"/>
  <c r="V109" i="1"/>
  <c r="W109" i="1" s="1"/>
  <c r="V127" i="1"/>
  <c r="W127" i="1" s="1"/>
  <c r="V147" i="1"/>
  <c r="W147" i="1" s="1"/>
  <c r="V207" i="1"/>
  <c r="W207" i="1" s="1"/>
  <c r="V217" i="1"/>
  <c r="W217" i="1" s="1"/>
  <c r="V39" i="1"/>
  <c r="V52" i="1"/>
  <c r="W52" i="1" s="1"/>
  <c r="V68" i="1"/>
  <c r="W68" i="1" s="1"/>
  <c r="V77" i="1"/>
  <c r="V98" i="1"/>
  <c r="W98" i="1" s="1"/>
  <c r="AG98" i="1" s="1"/>
  <c r="V112" i="1"/>
  <c r="W112" i="1" s="1"/>
  <c r="V128" i="1"/>
  <c r="V141" i="1"/>
  <c r="W141" i="1" s="1"/>
  <c r="V160" i="1"/>
  <c r="W160" i="1" s="1"/>
  <c r="V182" i="1"/>
  <c r="W182" i="1" s="1"/>
  <c r="V197" i="1"/>
  <c r="V174" i="1"/>
  <c r="W174" i="1" s="1"/>
  <c r="V19" i="1"/>
  <c r="V140" i="1"/>
  <c r="V198" i="1"/>
  <c r="V188" i="1"/>
  <c r="V123" i="1"/>
  <c r="W123" i="1" s="1"/>
  <c r="V107" i="1"/>
  <c r="V138" i="1"/>
  <c r="V216" i="1"/>
  <c r="W216" i="1" s="1"/>
  <c r="V62" i="1"/>
  <c r="W62" i="1" s="1"/>
  <c r="V93" i="1"/>
  <c r="V130" i="1"/>
  <c r="V31" i="1"/>
  <c r="V56" i="1"/>
  <c r="W56" i="1" s="1"/>
  <c r="V47" i="1"/>
  <c r="W47" i="1" s="1"/>
  <c r="V88" i="1"/>
  <c r="V96" i="1"/>
  <c r="W96" i="1" s="1"/>
  <c r="V115" i="1"/>
  <c r="W115" i="1" s="1"/>
  <c r="V133" i="1"/>
  <c r="W133" i="1" s="1"/>
  <c r="V168" i="1"/>
  <c r="W168" i="1" s="1"/>
  <c r="V212" i="1"/>
  <c r="W212" i="1" s="1"/>
  <c r="V37" i="1"/>
  <c r="W37" i="1" s="1"/>
  <c r="V61" i="1"/>
  <c r="V66" i="1"/>
  <c r="W66" i="1" s="1"/>
  <c r="V86" i="1"/>
  <c r="V105" i="1"/>
  <c r="W105" i="1" s="1"/>
  <c r="V114" i="1"/>
  <c r="V129" i="1"/>
  <c r="W129" i="1" s="1"/>
  <c r="V137" i="1"/>
  <c r="V162" i="1"/>
  <c r="W162" i="1" s="1"/>
  <c r="V187" i="1"/>
  <c r="V170" i="1"/>
  <c r="W170" i="1" s="1"/>
  <c r="V186" i="1"/>
  <c r="V22" i="1"/>
  <c r="W22" i="1" s="1"/>
  <c r="V151" i="1"/>
  <c r="W151" i="1" s="1"/>
  <c r="V180" i="1"/>
  <c r="W180" i="1" s="1"/>
  <c r="V189" i="1"/>
  <c r="W189" i="1" s="1"/>
  <c r="V29" i="1"/>
  <c r="W29" i="1" s="1"/>
  <c r="V43" i="1"/>
  <c r="W43" i="1" s="1"/>
  <c r="V46" i="1"/>
  <c r="W46" i="1" s="1"/>
  <c r="V73" i="1"/>
  <c r="V92" i="1"/>
  <c r="W92" i="1" s="1"/>
  <c r="V110" i="1"/>
  <c r="W110" i="1" s="1"/>
  <c r="V125" i="1"/>
  <c r="V153" i="1"/>
  <c r="W153" i="1" s="1"/>
  <c r="V193" i="1"/>
  <c r="W193" i="1" s="1"/>
  <c r="V21" i="1"/>
  <c r="V40" i="1"/>
  <c r="W40" i="1" s="1"/>
  <c r="V50" i="1"/>
  <c r="V76" i="1"/>
  <c r="W76" i="1" s="1"/>
  <c r="V82" i="1"/>
  <c r="V108" i="1"/>
  <c r="W108" i="1" s="1"/>
  <c r="V116" i="1"/>
  <c r="W116" i="1" s="1"/>
  <c r="V126" i="1"/>
  <c r="W126" i="1" s="1"/>
  <c r="V149" i="1"/>
  <c r="V167" i="1"/>
  <c r="V204" i="1"/>
  <c r="W204" i="1" s="1"/>
  <c r="V169" i="1"/>
  <c r="W169" i="1" s="1"/>
  <c r="V210" i="1"/>
  <c r="V24" i="1"/>
  <c r="W24" i="1" s="1"/>
  <c r="V136" i="1"/>
  <c r="V196" i="1"/>
  <c r="W196" i="1" s="1"/>
  <c r="V201" i="1"/>
  <c r="W201" i="1" s="1"/>
  <c r="V163" i="1"/>
  <c r="V85" i="1"/>
  <c r="W85" i="1" s="1"/>
  <c r="V36" i="1"/>
  <c r="W36" i="1" s="1"/>
  <c r="V53" i="1"/>
  <c r="W53" i="1" s="1"/>
  <c r="V64" i="1"/>
  <c r="V84" i="1"/>
  <c r="W84" i="1" s="1"/>
  <c r="V97" i="1"/>
  <c r="W97" i="1" s="1"/>
  <c r="V117" i="1"/>
  <c r="V146" i="1"/>
  <c r="V173" i="1"/>
  <c r="V213" i="1"/>
  <c r="W213" i="1" s="1"/>
  <c r="V25" i="1"/>
  <c r="V35" i="1"/>
  <c r="W35" i="1" s="1"/>
  <c r="V59" i="1"/>
  <c r="W59" i="1" s="1"/>
  <c r="V69" i="1"/>
  <c r="W69" i="1" s="1"/>
  <c r="V78" i="1"/>
  <c r="W78" i="1" s="1"/>
  <c r="V104" i="1"/>
  <c r="V119" i="1"/>
  <c r="W119" i="1" s="1"/>
  <c r="V134" i="1"/>
  <c r="W134" i="1" s="1"/>
  <c r="V150" i="1"/>
  <c r="W150" i="1" s="1"/>
  <c r="V164" i="1"/>
  <c r="V191" i="1"/>
  <c r="W191" i="1" s="1"/>
  <c r="V209" i="1"/>
  <c r="W209" i="1" s="1"/>
  <c r="V211" i="1"/>
  <c r="W211" i="1" s="1"/>
  <c r="V99" i="1"/>
  <c r="V159" i="1"/>
  <c r="W159" i="1" s="1"/>
  <c r="V176" i="1"/>
  <c r="W176" i="1" s="1"/>
  <c r="V195" i="1"/>
  <c r="W195" i="1" s="1"/>
  <c r="V33" i="1"/>
  <c r="V57" i="1"/>
  <c r="V65" i="1"/>
  <c r="W65" i="1" s="1"/>
  <c r="V89" i="1"/>
  <c r="V95" i="1"/>
  <c r="W95" i="1" s="1"/>
  <c r="V113" i="1"/>
  <c r="W113" i="1" s="1"/>
  <c r="V135" i="1"/>
  <c r="V165" i="1"/>
  <c r="V208" i="1"/>
  <c r="V26" i="1"/>
  <c r="W26" i="1" s="1"/>
  <c r="V41" i="1"/>
  <c r="W41" i="1" s="1"/>
  <c r="V58" i="1"/>
  <c r="V75" i="1"/>
  <c r="W75" i="1" s="1"/>
  <c r="V80" i="1"/>
  <c r="V121" i="1"/>
  <c r="V145" i="1"/>
  <c r="W145" i="1" s="1"/>
  <c r="V154" i="1"/>
  <c r="V166" i="1"/>
  <c r="W166" i="1" s="1"/>
  <c r="V218" i="1"/>
  <c r="V179" i="1"/>
  <c r="W179" i="1" s="1"/>
  <c r="V190" i="1"/>
  <c r="V100" i="1"/>
  <c r="W100" i="1" s="1"/>
  <c r="V152" i="1"/>
  <c r="W152" i="1" s="1"/>
  <c r="V177" i="1"/>
  <c r="W177" i="1" s="1"/>
  <c r="V206" i="1"/>
  <c r="W206" i="1" s="1"/>
  <c r="V34" i="1"/>
  <c r="W34" i="1" s="1"/>
  <c r="V60" i="1"/>
  <c r="V70" i="1"/>
  <c r="W70" i="1" s="1"/>
  <c r="V79" i="1"/>
  <c r="V106" i="1"/>
  <c r="W106" i="1" s="1"/>
  <c r="V120" i="1"/>
  <c r="W120" i="1" s="1"/>
  <c r="V148" i="1"/>
  <c r="V219" i="1"/>
  <c r="V205" i="1"/>
  <c r="W205" i="1" s="1"/>
  <c r="V28" i="1"/>
  <c r="W28" i="1" s="1"/>
  <c r="V45" i="1"/>
  <c r="V55" i="1"/>
  <c r="V71" i="1"/>
  <c r="W71" i="1" s="1"/>
  <c r="V90" i="1"/>
  <c r="V102" i="1"/>
  <c r="W102" i="1" s="1"/>
  <c r="V122" i="1"/>
  <c r="V144" i="1"/>
  <c r="W144" i="1" s="1"/>
  <c r="V156" i="1"/>
  <c r="V200" i="1"/>
  <c r="W200" i="1" s="1"/>
  <c r="V202" i="1"/>
  <c r="V171" i="1"/>
  <c r="W171" i="1" s="1"/>
  <c r="V203" i="1"/>
  <c r="V175" i="1"/>
  <c r="V215" i="1"/>
  <c r="V38" i="1"/>
  <c r="W38" i="1" s="1"/>
  <c r="V54" i="1"/>
  <c r="W54" i="1" s="1"/>
  <c r="V63" i="1"/>
  <c r="W63" i="1" s="1"/>
  <c r="V83" i="1"/>
  <c r="W83" i="1" s="1"/>
  <c r="V118" i="1"/>
  <c r="W118" i="1" s="1"/>
  <c r="V181" i="1"/>
  <c r="V30" i="1"/>
  <c r="W30" i="1" s="1"/>
  <c r="V51" i="1"/>
  <c r="V101" i="1"/>
  <c r="W101" i="1" s="1"/>
  <c r="V142" i="1"/>
  <c r="W142" i="1" s="1"/>
  <c r="V222" i="1"/>
  <c r="W222" i="1" s="1"/>
  <c r="V172" i="1"/>
  <c r="V157" i="1"/>
  <c r="W157" i="1" s="1"/>
  <c r="V199" i="1"/>
  <c r="V20" i="1"/>
  <c r="W20" i="1" s="1"/>
  <c r="V214" i="1"/>
  <c r="V131" i="1"/>
  <c r="W131" i="1" s="1"/>
  <c r="V194" i="1"/>
  <c r="V161" i="1"/>
  <c r="AF86" i="1"/>
  <c r="AI86" i="1" s="1"/>
  <c r="AE238" i="2"/>
  <c r="U239" i="2"/>
  <c r="F9" i="2"/>
  <c r="H8" i="2"/>
  <c r="K8" i="2" s="1"/>
  <c r="H9" i="2"/>
  <c r="K9" i="2" s="1"/>
  <c r="D8" i="2"/>
  <c r="F8" i="2" s="1"/>
  <c r="D7" i="2"/>
  <c r="F7" i="2" s="1"/>
  <c r="N29" i="5" l="1"/>
  <c r="R29" i="5"/>
  <c r="AG152" i="2"/>
  <c r="K7" i="2"/>
  <c r="S34" i="2" s="1"/>
  <c r="W49" i="1"/>
  <c r="W158" i="1"/>
  <c r="W42" i="1"/>
  <c r="W87" i="1"/>
  <c r="W185" i="1"/>
  <c r="W135" i="1"/>
  <c r="AK135" i="1"/>
  <c r="S152" i="2"/>
  <c r="AG76" i="2"/>
  <c r="S143" i="2"/>
  <c r="S30" i="2"/>
  <c r="S219" i="2"/>
  <c r="S155" i="2"/>
  <c r="S90" i="2"/>
  <c r="S25" i="2"/>
  <c r="S182" i="2"/>
  <c r="S16" i="2"/>
  <c r="W154" i="1"/>
  <c r="W86" i="1"/>
  <c r="W31" i="1"/>
  <c r="W125" i="1"/>
  <c r="W88" i="1"/>
  <c r="W130" i="1"/>
  <c r="W128" i="1"/>
  <c r="W221" i="1"/>
  <c r="W155" i="1"/>
  <c r="W148" i="1"/>
  <c r="W99" i="1"/>
  <c r="W104" i="1"/>
  <c r="W64" i="1"/>
  <c r="W194" i="1"/>
  <c r="W156" i="1"/>
  <c r="W25" i="1"/>
  <c r="W117" i="1"/>
  <c r="W149" i="1"/>
  <c r="W82" i="1"/>
  <c r="W114" i="1"/>
  <c r="W107" i="1"/>
  <c r="W103" i="1"/>
  <c r="W215" i="1"/>
  <c r="W188" i="1"/>
  <c r="W175" i="1"/>
  <c r="W190" i="1"/>
  <c r="W187" i="1"/>
  <c r="W210" i="1"/>
  <c r="W181" i="1"/>
  <c r="W197" i="1"/>
  <c r="W186" i="1"/>
  <c r="W223" i="1"/>
  <c r="W202" i="1"/>
  <c r="W173" i="1"/>
  <c r="W214" i="1"/>
  <c r="W203" i="1"/>
  <c r="W218" i="1"/>
  <c r="W198" i="1"/>
  <c r="W219" i="1"/>
  <c r="W172" i="1"/>
  <c r="W199" i="1"/>
  <c r="W208" i="1"/>
  <c r="W164" i="1"/>
  <c r="W165" i="1"/>
  <c r="W167" i="1"/>
  <c r="W161" i="1"/>
  <c r="W163" i="1"/>
  <c r="W146" i="1"/>
  <c r="W143" i="1"/>
  <c r="W137" i="1"/>
  <c r="W136" i="1"/>
  <c r="W140" i="1"/>
  <c r="W138" i="1"/>
  <c r="W122" i="1"/>
  <c r="W121" i="1"/>
  <c r="W94" i="1"/>
  <c r="W93" i="1"/>
  <c r="W90" i="1"/>
  <c r="W81" i="1"/>
  <c r="W77" i="1"/>
  <c r="W89" i="1"/>
  <c r="W79" i="1"/>
  <c r="W80" i="1"/>
  <c r="W73" i="1"/>
  <c r="W72" i="1"/>
  <c r="W60" i="1"/>
  <c r="W58" i="1"/>
  <c r="W55" i="1"/>
  <c r="W51" i="1"/>
  <c r="W50" i="1"/>
  <c r="W57" i="1"/>
  <c r="W61" i="1"/>
  <c r="W45" i="1"/>
  <c r="W39" i="1"/>
  <c r="W33" i="1"/>
  <c r="W23" i="1"/>
  <c r="W21" i="1"/>
  <c r="W19" i="1"/>
  <c r="G28" i="5"/>
  <c r="G27" i="5"/>
  <c r="V224" i="1"/>
  <c r="Y212" i="1"/>
  <c r="Y141" i="1"/>
  <c r="Y158" i="1"/>
  <c r="Y175" i="1"/>
  <c r="Y75" i="1"/>
  <c r="Y208" i="1"/>
  <c r="B27" i="5"/>
  <c r="C27" i="5" s="1"/>
  <c r="Y64" i="1"/>
  <c r="Z64" i="1" s="1"/>
  <c r="Y163" i="1"/>
  <c r="Z163" i="1" s="1"/>
  <c r="Y40" i="1"/>
  <c r="Y170" i="1"/>
  <c r="AA170" i="1" s="1"/>
  <c r="Y129" i="1"/>
  <c r="AA129" i="1" s="1"/>
  <c r="Y197" i="1"/>
  <c r="Y128" i="1"/>
  <c r="Y23" i="1"/>
  <c r="Y132" i="1"/>
  <c r="Y51" i="1"/>
  <c r="Y219" i="1"/>
  <c r="AF186" i="1"/>
  <c r="AI186" i="1" s="1"/>
  <c r="Y174" i="1"/>
  <c r="Y44" i="1"/>
  <c r="Y54" i="1"/>
  <c r="AA54" i="1" s="1"/>
  <c r="Y28" i="1"/>
  <c r="Y165" i="1"/>
  <c r="AA165" i="1" s="1"/>
  <c r="Y53" i="1"/>
  <c r="Y187" i="1"/>
  <c r="Y114" i="1"/>
  <c r="AA114" i="1" s="1"/>
  <c r="Y215" i="1"/>
  <c r="AA215" i="1" s="1"/>
  <c r="Y206" i="1"/>
  <c r="Y143" i="1"/>
  <c r="Z143" i="1" s="1"/>
  <c r="Y20" i="1"/>
  <c r="Y38" i="1"/>
  <c r="Y205" i="1"/>
  <c r="Y135" i="1"/>
  <c r="Y69" i="1"/>
  <c r="Y169" i="1"/>
  <c r="B28" i="5"/>
  <c r="C28" i="5" s="1"/>
  <c r="Y94" i="1"/>
  <c r="Y90" i="1"/>
  <c r="Z90" i="1" s="1"/>
  <c r="Y18" i="1"/>
  <c r="Z18" i="1" s="1"/>
  <c r="AK214" i="1"/>
  <c r="AM214" i="1" s="1"/>
  <c r="Y214" i="1"/>
  <c r="AK161" i="1"/>
  <c r="AM161" i="1" s="1"/>
  <c r="Y161" i="1"/>
  <c r="AK222" i="1"/>
  <c r="AM222" i="1" s="1"/>
  <c r="Y222" i="1"/>
  <c r="AK30" i="1"/>
  <c r="AM30" i="1" s="1"/>
  <c r="Y30" i="1"/>
  <c r="AK63" i="1"/>
  <c r="AM63" i="1" s="1"/>
  <c r="Y63" i="1"/>
  <c r="AK200" i="1"/>
  <c r="AM200" i="1" s="1"/>
  <c r="Y200" i="1"/>
  <c r="AK102" i="1"/>
  <c r="AM102" i="1" s="1"/>
  <c r="Y102" i="1"/>
  <c r="AK45" i="1"/>
  <c r="AM45" i="1" s="1"/>
  <c r="Y45" i="1"/>
  <c r="AK148" i="1"/>
  <c r="AM148" i="1" s="1"/>
  <c r="Y148" i="1"/>
  <c r="AK70" i="1"/>
  <c r="AM70" i="1" s="1"/>
  <c r="Y70" i="1"/>
  <c r="AK177" i="1"/>
  <c r="AM177" i="1" s="1"/>
  <c r="Y177" i="1"/>
  <c r="AK179" i="1"/>
  <c r="AM179" i="1" s="1"/>
  <c r="Y179" i="1"/>
  <c r="AK145" i="1"/>
  <c r="AM145" i="1" s="1"/>
  <c r="Y145" i="1"/>
  <c r="AK95" i="1"/>
  <c r="AM95" i="1" s="1"/>
  <c r="Y95" i="1"/>
  <c r="AK33" i="1"/>
  <c r="AM33" i="1" s="1"/>
  <c r="Y33" i="1"/>
  <c r="AA33" i="1" s="1"/>
  <c r="AK99" i="1"/>
  <c r="AM99" i="1" s="1"/>
  <c r="Y99" i="1"/>
  <c r="AK164" i="1"/>
  <c r="AM164" i="1" s="1"/>
  <c r="Y164" i="1"/>
  <c r="AK104" i="1"/>
  <c r="AM104" i="1" s="1"/>
  <c r="Y104" i="1"/>
  <c r="AK35" i="1"/>
  <c r="AM35" i="1" s="1"/>
  <c r="Y35" i="1"/>
  <c r="AK146" i="1"/>
  <c r="AM146" i="1" s="1"/>
  <c r="Y146" i="1"/>
  <c r="AK24" i="1"/>
  <c r="AM24" i="1" s="1"/>
  <c r="Y24" i="1"/>
  <c r="AK167" i="1"/>
  <c r="AM167" i="1" s="1"/>
  <c r="Y167" i="1"/>
  <c r="AK108" i="1"/>
  <c r="AM108" i="1" s="1"/>
  <c r="Y108" i="1"/>
  <c r="AK125" i="1"/>
  <c r="AM125" i="1" s="1"/>
  <c r="Y125" i="1"/>
  <c r="AK46" i="1"/>
  <c r="AM46" i="1" s="1"/>
  <c r="Y46" i="1"/>
  <c r="AK180" i="1"/>
  <c r="AM180" i="1" s="1"/>
  <c r="Y180" i="1"/>
  <c r="AK66" i="1"/>
  <c r="AM66" i="1" s="1"/>
  <c r="Y66" i="1"/>
  <c r="AK168" i="1"/>
  <c r="AM168" i="1" s="1"/>
  <c r="Y168" i="1"/>
  <c r="AK88" i="1"/>
  <c r="AM88" i="1" s="1"/>
  <c r="Y88" i="1"/>
  <c r="AK130" i="1"/>
  <c r="AM130" i="1" s="1"/>
  <c r="Y130" i="1"/>
  <c r="AK138" i="1"/>
  <c r="AM138" i="1" s="1"/>
  <c r="Y138" i="1"/>
  <c r="AK198" i="1"/>
  <c r="AM198" i="1" s="1"/>
  <c r="Y198" i="1"/>
  <c r="AK68" i="1"/>
  <c r="AM68" i="1" s="1"/>
  <c r="Y68" i="1"/>
  <c r="AK207" i="1"/>
  <c r="AM207" i="1" s="1"/>
  <c r="Y207" i="1"/>
  <c r="AK81" i="1"/>
  <c r="AM81" i="1" s="1"/>
  <c r="Y81" i="1"/>
  <c r="AK221" i="1"/>
  <c r="AM221" i="1" s="1"/>
  <c r="Y221" i="1"/>
  <c r="AK155" i="1"/>
  <c r="AM155" i="1" s="1"/>
  <c r="Y155" i="1"/>
  <c r="AK32" i="1"/>
  <c r="AM32" i="1" s="1"/>
  <c r="Y32" i="1"/>
  <c r="AK194" i="1"/>
  <c r="AM194" i="1" s="1"/>
  <c r="Y194" i="1"/>
  <c r="AK142" i="1"/>
  <c r="AM142" i="1" s="1"/>
  <c r="Y142" i="1"/>
  <c r="AK203" i="1"/>
  <c r="AM203" i="1" s="1"/>
  <c r="Y203" i="1"/>
  <c r="AK156" i="1"/>
  <c r="AM156" i="1" s="1"/>
  <c r="Y156" i="1"/>
  <c r="AK120" i="1"/>
  <c r="AM120" i="1" s="1"/>
  <c r="Y120" i="1"/>
  <c r="AK60" i="1"/>
  <c r="AM60" i="1" s="1"/>
  <c r="Y60" i="1"/>
  <c r="Z60" i="1" s="1"/>
  <c r="AK152" i="1"/>
  <c r="AM152" i="1" s="1"/>
  <c r="Y152" i="1"/>
  <c r="AK218" i="1"/>
  <c r="AM218" i="1" s="1"/>
  <c r="Y218" i="1"/>
  <c r="AK121" i="1"/>
  <c r="AM121" i="1" s="1"/>
  <c r="Y121" i="1"/>
  <c r="AK58" i="1"/>
  <c r="AM58" i="1" s="1"/>
  <c r="Y58" i="1"/>
  <c r="AK89" i="1"/>
  <c r="AM89" i="1" s="1"/>
  <c r="Y89" i="1"/>
  <c r="AK195" i="1"/>
  <c r="AM195" i="1" s="1"/>
  <c r="Y195" i="1"/>
  <c r="AK211" i="1"/>
  <c r="AM211" i="1" s="1"/>
  <c r="Y211" i="1"/>
  <c r="AK150" i="1"/>
  <c r="AM150" i="1" s="1"/>
  <c r="Y150" i="1"/>
  <c r="AK78" i="1"/>
  <c r="AM78" i="1" s="1"/>
  <c r="Y78" i="1"/>
  <c r="AK25" i="1"/>
  <c r="AM25" i="1" s="1"/>
  <c r="Y25" i="1"/>
  <c r="AK117" i="1"/>
  <c r="AM117" i="1" s="1"/>
  <c r="Y117" i="1"/>
  <c r="AK201" i="1"/>
  <c r="AM201" i="1" s="1"/>
  <c r="Y201" i="1"/>
  <c r="AK210" i="1"/>
  <c r="AM210" i="1" s="1"/>
  <c r="Y210" i="1"/>
  <c r="AK149" i="1"/>
  <c r="AM149" i="1" s="1"/>
  <c r="Y149" i="1"/>
  <c r="AK82" i="1"/>
  <c r="AM82" i="1" s="1"/>
  <c r="Y82" i="1"/>
  <c r="AA82" i="1" s="1"/>
  <c r="AK21" i="1"/>
  <c r="AM21" i="1" s="1"/>
  <c r="Y21" i="1"/>
  <c r="AK110" i="1"/>
  <c r="AM110" i="1" s="1"/>
  <c r="Y110" i="1"/>
  <c r="AK43" i="1"/>
  <c r="AM43" i="1" s="1"/>
  <c r="Y43" i="1"/>
  <c r="AK151" i="1"/>
  <c r="AM151" i="1" s="1"/>
  <c r="Y151" i="1"/>
  <c r="AK61" i="1"/>
  <c r="AM61" i="1" s="1"/>
  <c r="Y61" i="1"/>
  <c r="AK133" i="1"/>
  <c r="AM133" i="1" s="1"/>
  <c r="Y133" i="1"/>
  <c r="AK47" i="1"/>
  <c r="AM47" i="1" s="1"/>
  <c r="Y47" i="1"/>
  <c r="AK93" i="1"/>
  <c r="AM93" i="1" s="1"/>
  <c r="Y93" i="1"/>
  <c r="AK107" i="1"/>
  <c r="AM107" i="1" s="1"/>
  <c r="Y107" i="1"/>
  <c r="AK140" i="1"/>
  <c r="AM140" i="1" s="1"/>
  <c r="Y140" i="1"/>
  <c r="AK182" i="1"/>
  <c r="AM182" i="1" s="1"/>
  <c r="Y182" i="1"/>
  <c r="AK112" i="1"/>
  <c r="AM112" i="1" s="1"/>
  <c r="Y112" i="1"/>
  <c r="AK52" i="1"/>
  <c r="AM52" i="1" s="1"/>
  <c r="Y52" i="1"/>
  <c r="AK147" i="1"/>
  <c r="AM147" i="1" s="1"/>
  <c r="Y147" i="1"/>
  <c r="AK74" i="1"/>
  <c r="AM74" i="1" s="1"/>
  <c r="Y74" i="1"/>
  <c r="AK223" i="1"/>
  <c r="AM223" i="1" s="1"/>
  <c r="Y223" i="1"/>
  <c r="AK183" i="1"/>
  <c r="AM183" i="1" s="1"/>
  <c r="Y183" i="1"/>
  <c r="AK139" i="1"/>
  <c r="AM139" i="1" s="1"/>
  <c r="Y139" i="1"/>
  <c r="AK87" i="1"/>
  <c r="AM87" i="1" s="1"/>
  <c r="Y87" i="1"/>
  <c r="AK185" i="1"/>
  <c r="AM185" i="1" s="1"/>
  <c r="Y185" i="1"/>
  <c r="AK103" i="1"/>
  <c r="AM103" i="1" s="1"/>
  <c r="Y103" i="1"/>
  <c r="AK42" i="1"/>
  <c r="AM42" i="1" s="1"/>
  <c r="Y42" i="1"/>
  <c r="AK172" i="1"/>
  <c r="Y172" i="1"/>
  <c r="Z172" i="1" s="1"/>
  <c r="AK199" i="1"/>
  <c r="AM199" i="1" s="1"/>
  <c r="Y199" i="1"/>
  <c r="AK181" i="1"/>
  <c r="AM181" i="1" s="1"/>
  <c r="Y181" i="1"/>
  <c r="AK131" i="1"/>
  <c r="AM131" i="1" s="1"/>
  <c r="Y131" i="1"/>
  <c r="AK157" i="1"/>
  <c r="AM157" i="1" s="1"/>
  <c r="Y157" i="1"/>
  <c r="AK101" i="1"/>
  <c r="AM101" i="1" s="1"/>
  <c r="Y101" i="1"/>
  <c r="AK118" i="1"/>
  <c r="AM118" i="1" s="1"/>
  <c r="Y118" i="1"/>
  <c r="AK171" i="1"/>
  <c r="AM171" i="1" s="1"/>
  <c r="Y171" i="1"/>
  <c r="AK144" i="1"/>
  <c r="AM144" i="1" s="1"/>
  <c r="Y144" i="1"/>
  <c r="AK71" i="1"/>
  <c r="AM71" i="1" s="1"/>
  <c r="Y71" i="1"/>
  <c r="AK106" i="1"/>
  <c r="AM106" i="1" s="1"/>
  <c r="Y106" i="1"/>
  <c r="AK34" i="1"/>
  <c r="AM34" i="1" s="1"/>
  <c r="Y34" i="1"/>
  <c r="AK100" i="1"/>
  <c r="AM100" i="1" s="1"/>
  <c r="Y100" i="1"/>
  <c r="AK166" i="1"/>
  <c r="AM166" i="1" s="1"/>
  <c r="Y166" i="1"/>
  <c r="AK41" i="1"/>
  <c r="AM41" i="1" s="1"/>
  <c r="Y41" i="1"/>
  <c r="AK65" i="1"/>
  <c r="AM65" i="1" s="1"/>
  <c r="Y65" i="1"/>
  <c r="AK176" i="1"/>
  <c r="AM176" i="1" s="1"/>
  <c r="Y176" i="1"/>
  <c r="AK209" i="1"/>
  <c r="AM209" i="1" s="1"/>
  <c r="Y209" i="1"/>
  <c r="AK134" i="1"/>
  <c r="AM134" i="1" s="1"/>
  <c r="Y134" i="1"/>
  <c r="AK213" i="1"/>
  <c r="AM213" i="1" s="1"/>
  <c r="Y213" i="1"/>
  <c r="AK97" i="1"/>
  <c r="AM97" i="1" s="1"/>
  <c r="Y97" i="1"/>
  <c r="AK36" i="1"/>
  <c r="AM36" i="1" s="1"/>
  <c r="Y36" i="1"/>
  <c r="AK196" i="1"/>
  <c r="AM196" i="1" s="1"/>
  <c r="Y196" i="1"/>
  <c r="AK126" i="1"/>
  <c r="AM126" i="1" s="1"/>
  <c r="Y126" i="1"/>
  <c r="AK76" i="1"/>
  <c r="AM76" i="1" s="1"/>
  <c r="Y76" i="1"/>
  <c r="Z76" i="1" s="1"/>
  <c r="AK193" i="1"/>
  <c r="AM193" i="1" s="1"/>
  <c r="Y193" i="1"/>
  <c r="AK92" i="1"/>
  <c r="AM92" i="1" s="1"/>
  <c r="Y92" i="1"/>
  <c r="Z92" i="1" s="1"/>
  <c r="AK29" i="1"/>
  <c r="AM29" i="1" s="1"/>
  <c r="Y29" i="1"/>
  <c r="AK22" i="1"/>
  <c r="AM22" i="1" s="1"/>
  <c r="Y22" i="1"/>
  <c r="Z22" i="1" s="1"/>
  <c r="AK162" i="1"/>
  <c r="AM162" i="1" s="1"/>
  <c r="Y162" i="1"/>
  <c r="Z162" i="1" s="1"/>
  <c r="AK105" i="1"/>
  <c r="AM105" i="1" s="1"/>
  <c r="Y105" i="1"/>
  <c r="AK37" i="1"/>
  <c r="AM37" i="1" s="1"/>
  <c r="Y37" i="1"/>
  <c r="Z37" i="1" s="1"/>
  <c r="AK115" i="1"/>
  <c r="AM115" i="1" s="1"/>
  <c r="Y115" i="1"/>
  <c r="AK56" i="1"/>
  <c r="AM56" i="1" s="1"/>
  <c r="Y56" i="1"/>
  <c r="AK62" i="1"/>
  <c r="AM62" i="1" s="1"/>
  <c r="Y62" i="1"/>
  <c r="Z62" i="1" s="1"/>
  <c r="AK123" i="1"/>
  <c r="AM123" i="1" s="1"/>
  <c r="Y123" i="1"/>
  <c r="AK19" i="1"/>
  <c r="AM19" i="1" s="1"/>
  <c r="Y19" i="1"/>
  <c r="AK160" i="1"/>
  <c r="AM160" i="1" s="1"/>
  <c r="Y160" i="1"/>
  <c r="AK98" i="1"/>
  <c r="AM98" i="1" s="1"/>
  <c r="Y98" i="1"/>
  <c r="AK39" i="1"/>
  <c r="AM39" i="1" s="1"/>
  <c r="Y39" i="1"/>
  <c r="AK127" i="1"/>
  <c r="AM127" i="1" s="1"/>
  <c r="Y127" i="1"/>
  <c r="AA127" i="1" s="1"/>
  <c r="AK48" i="1"/>
  <c r="AM48" i="1" s="1"/>
  <c r="Y48" i="1"/>
  <c r="AK184" i="1"/>
  <c r="AM184" i="1" s="1"/>
  <c r="Y184" i="1"/>
  <c r="AK178" i="1"/>
  <c r="AM178" i="1" s="1"/>
  <c r="Y178" i="1"/>
  <c r="AK124" i="1"/>
  <c r="AM124" i="1" s="1"/>
  <c r="Y124" i="1"/>
  <c r="AK67" i="1"/>
  <c r="AM67" i="1" s="1"/>
  <c r="Y67" i="1"/>
  <c r="AK220" i="1"/>
  <c r="AM220" i="1" s="1"/>
  <c r="Y220" i="1"/>
  <c r="AK91" i="1"/>
  <c r="AM91" i="1" s="1"/>
  <c r="Y91" i="1"/>
  <c r="AK27" i="1"/>
  <c r="AM27" i="1" s="1"/>
  <c r="Y27" i="1"/>
  <c r="AK83" i="1"/>
  <c r="AM83" i="1" s="1"/>
  <c r="Y83" i="1"/>
  <c r="AK202" i="1"/>
  <c r="AM202" i="1" s="1"/>
  <c r="Y202" i="1"/>
  <c r="AK122" i="1"/>
  <c r="AM122" i="1" s="1"/>
  <c r="Y122" i="1"/>
  <c r="AK55" i="1"/>
  <c r="AM55" i="1" s="1"/>
  <c r="Y55" i="1"/>
  <c r="AK79" i="1"/>
  <c r="AM79" i="1" s="1"/>
  <c r="Y79" i="1"/>
  <c r="Z79" i="1" s="1"/>
  <c r="AK190" i="1"/>
  <c r="AM190" i="1" s="1"/>
  <c r="Y190" i="1"/>
  <c r="AK154" i="1"/>
  <c r="AM154" i="1" s="1"/>
  <c r="Y154" i="1"/>
  <c r="AK80" i="1"/>
  <c r="AM80" i="1" s="1"/>
  <c r="Y80" i="1"/>
  <c r="AK26" i="1"/>
  <c r="AM26" i="1" s="1"/>
  <c r="Y26" i="1"/>
  <c r="AK113" i="1"/>
  <c r="AM113" i="1" s="1"/>
  <c r="Y113" i="1"/>
  <c r="AA113" i="1" s="1"/>
  <c r="AK57" i="1"/>
  <c r="AM57" i="1" s="1"/>
  <c r="Y57" i="1"/>
  <c r="AK159" i="1"/>
  <c r="AM159" i="1" s="1"/>
  <c r="Y159" i="1"/>
  <c r="AK191" i="1"/>
  <c r="AM191" i="1" s="1"/>
  <c r="Y191" i="1"/>
  <c r="AK119" i="1"/>
  <c r="AM119" i="1" s="1"/>
  <c r="Y119" i="1"/>
  <c r="AK59" i="1"/>
  <c r="AM59" i="1" s="1"/>
  <c r="Y59" i="1"/>
  <c r="AK173" i="1"/>
  <c r="AM173" i="1" s="1"/>
  <c r="Y173" i="1"/>
  <c r="AK84" i="1"/>
  <c r="AM84" i="1" s="1"/>
  <c r="Y84" i="1"/>
  <c r="AK85" i="1"/>
  <c r="AM85" i="1" s="1"/>
  <c r="Y85" i="1"/>
  <c r="AK136" i="1"/>
  <c r="AM136" i="1" s="1"/>
  <c r="Y136" i="1"/>
  <c r="AK204" i="1"/>
  <c r="AM204" i="1" s="1"/>
  <c r="Y204" i="1"/>
  <c r="AK116" i="1"/>
  <c r="AM116" i="1" s="1"/>
  <c r="Y116" i="1"/>
  <c r="AK50" i="1"/>
  <c r="AM50" i="1" s="1"/>
  <c r="Y50" i="1"/>
  <c r="AK153" i="1"/>
  <c r="AM153" i="1" s="1"/>
  <c r="Y153" i="1"/>
  <c r="AK73" i="1"/>
  <c r="AM73" i="1" s="1"/>
  <c r="Y73" i="1"/>
  <c r="AK189" i="1"/>
  <c r="AM189" i="1" s="1"/>
  <c r="Y189" i="1"/>
  <c r="AK186" i="1"/>
  <c r="AM186" i="1" s="1"/>
  <c r="Y186" i="1"/>
  <c r="AK137" i="1"/>
  <c r="AM137" i="1" s="1"/>
  <c r="Y137" i="1"/>
  <c r="Z137" i="1" s="1"/>
  <c r="AK86" i="1"/>
  <c r="AM86" i="1" s="1"/>
  <c r="Y86" i="1"/>
  <c r="AK96" i="1"/>
  <c r="AM96" i="1" s="1"/>
  <c r="Y96" i="1"/>
  <c r="AK31" i="1"/>
  <c r="AM31" i="1" s="1"/>
  <c r="Y31" i="1"/>
  <c r="AK216" i="1"/>
  <c r="AM216" i="1" s="1"/>
  <c r="Y216" i="1"/>
  <c r="AK188" i="1"/>
  <c r="AM188" i="1" s="1"/>
  <c r="Y188" i="1"/>
  <c r="AK77" i="1"/>
  <c r="AM77" i="1" s="1"/>
  <c r="Y77" i="1"/>
  <c r="AK217" i="1"/>
  <c r="AM217" i="1" s="1"/>
  <c r="Y217" i="1"/>
  <c r="AK109" i="1"/>
  <c r="AM109" i="1" s="1"/>
  <c r="Y109" i="1"/>
  <c r="AK192" i="1"/>
  <c r="AM192" i="1" s="1"/>
  <c r="Y192" i="1"/>
  <c r="AK111" i="1"/>
  <c r="AM111" i="1" s="1"/>
  <c r="Y111" i="1"/>
  <c r="AK49" i="1"/>
  <c r="AM49" i="1" s="1"/>
  <c r="Y49" i="1"/>
  <c r="AK72" i="1"/>
  <c r="AM72" i="1" s="1"/>
  <c r="Y72" i="1"/>
  <c r="AM172" i="1"/>
  <c r="AF127" i="1"/>
  <c r="AI127" i="1" s="1"/>
  <c r="AK169" i="1"/>
  <c r="AM169" i="1" s="1"/>
  <c r="AN224" i="1"/>
  <c r="AG32" i="2"/>
  <c r="AG81" i="2"/>
  <c r="AG105" i="2"/>
  <c r="AG117" i="2"/>
  <c r="AG133" i="2"/>
  <c r="AG141" i="2"/>
  <c r="AG154" i="2"/>
  <c r="AG17" i="2"/>
  <c r="AG21" i="2"/>
  <c r="AG25" i="2"/>
  <c r="AG29" i="2"/>
  <c r="AG33" i="2"/>
  <c r="AG37" i="2"/>
  <c r="AG41" i="2"/>
  <c r="AG45" i="2"/>
  <c r="AG49" i="2"/>
  <c r="AG53" i="2"/>
  <c r="AG57" i="2"/>
  <c r="AG61" i="2"/>
  <c r="AG65" i="2"/>
  <c r="AG69" i="2"/>
  <c r="AG73" i="2"/>
  <c r="AG78" i="2"/>
  <c r="AG82" i="2"/>
  <c r="AG86" i="2"/>
  <c r="AG90" i="2"/>
  <c r="AG94" i="2"/>
  <c r="AG98" i="2"/>
  <c r="AG102" i="2"/>
  <c r="AG106" i="2"/>
  <c r="AG110" i="2"/>
  <c r="AG114" i="2"/>
  <c r="AG118" i="2"/>
  <c r="AG122" i="2"/>
  <c r="AG126" i="2"/>
  <c r="AG130" i="2"/>
  <c r="AG134" i="2"/>
  <c r="AG138" i="2"/>
  <c r="AG142" i="2"/>
  <c r="AG146" i="2"/>
  <c r="AG150" i="2"/>
  <c r="AG155" i="2"/>
  <c r="AG159" i="2"/>
  <c r="AG163" i="2"/>
  <c r="AG167" i="2"/>
  <c r="AG171" i="2"/>
  <c r="AG175" i="2"/>
  <c r="AG179" i="2"/>
  <c r="AG183" i="2"/>
  <c r="AG187" i="2"/>
  <c r="AG191" i="2"/>
  <c r="AG195" i="2"/>
  <c r="AG199" i="2"/>
  <c r="AG203" i="2"/>
  <c r="AG207" i="2"/>
  <c r="AG211" i="2"/>
  <c r="AG215" i="2"/>
  <c r="AG219" i="2"/>
  <c r="AG223" i="2"/>
  <c r="AG227" i="2"/>
  <c r="AG231" i="2"/>
  <c r="AG235" i="2"/>
  <c r="AG18" i="2"/>
  <c r="AG22" i="2"/>
  <c r="AG26" i="2"/>
  <c r="AG30" i="2"/>
  <c r="AG34" i="2"/>
  <c r="AG38" i="2"/>
  <c r="AG42" i="2"/>
  <c r="AG50" i="2"/>
  <c r="AG54" i="2"/>
  <c r="AG58" i="2"/>
  <c r="AG62" i="2"/>
  <c r="AG66" i="2"/>
  <c r="AG70" i="2"/>
  <c r="AG74" i="2"/>
  <c r="AG79" i="2"/>
  <c r="AG83" i="2"/>
  <c r="AG91" i="2"/>
  <c r="AG95" i="2"/>
  <c r="AG99" i="2"/>
  <c r="AG107" i="2"/>
  <c r="AG111" i="2"/>
  <c r="AG115" i="2"/>
  <c r="AG123" i="2"/>
  <c r="AG127" i="2"/>
  <c r="AG135" i="2"/>
  <c r="AG139" i="2"/>
  <c r="AG147" i="2"/>
  <c r="AG156" i="2"/>
  <c r="AG160" i="2"/>
  <c r="AG46" i="2"/>
  <c r="AG87" i="2"/>
  <c r="AG103" i="2"/>
  <c r="AG119" i="2"/>
  <c r="AG131" i="2"/>
  <c r="AG143" i="2"/>
  <c r="AG151" i="2"/>
  <c r="AG15" i="2"/>
  <c r="AG19" i="2"/>
  <c r="AG23" i="2"/>
  <c r="AG27" i="2"/>
  <c r="AG31" i="2"/>
  <c r="AG35" i="2"/>
  <c r="AG39" i="2"/>
  <c r="AG43" i="2"/>
  <c r="AG47" i="2"/>
  <c r="AG51" i="2"/>
  <c r="AG55" i="2"/>
  <c r="AG59" i="2"/>
  <c r="AG63" i="2"/>
  <c r="AG67" i="2"/>
  <c r="AG71" i="2"/>
  <c r="AG75" i="2"/>
  <c r="AG80" i="2"/>
  <c r="AG84" i="2"/>
  <c r="AG88" i="2"/>
  <c r="AG92" i="2"/>
  <c r="AG96" i="2"/>
  <c r="AG100" i="2"/>
  <c r="AG104" i="2"/>
  <c r="AG108" i="2"/>
  <c r="AG112" i="2"/>
  <c r="AG116" i="2"/>
  <c r="AG120" i="2"/>
  <c r="AG124" i="2"/>
  <c r="AG128" i="2"/>
  <c r="AG132" i="2"/>
  <c r="AG136" i="2"/>
  <c r="AG140" i="2"/>
  <c r="AG144" i="2"/>
  <c r="AG148" i="2"/>
  <c r="AG153" i="2"/>
  <c r="AG157" i="2"/>
  <c r="AG161" i="2"/>
  <c r="AG165" i="2"/>
  <c r="AG169" i="2"/>
  <c r="AG173" i="2"/>
  <c r="AG177" i="2"/>
  <c r="AG181" i="2"/>
  <c r="AG185" i="2"/>
  <c r="AG189" i="2"/>
  <c r="AG193" i="2"/>
  <c r="AG197" i="2"/>
  <c r="AG201" i="2"/>
  <c r="AG205" i="2"/>
  <c r="AG209" i="2"/>
  <c r="AG213" i="2"/>
  <c r="AG217" i="2"/>
  <c r="AG221" i="2"/>
  <c r="AG225" i="2"/>
  <c r="AG229" i="2"/>
  <c r="AG233" i="2"/>
  <c r="AG237" i="2"/>
  <c r="AG16" i="2"/>
  <c r="AG20" i="2"/>
  <c r="AG24" i="2"/>
  <c r="AG28" i="2"/>
  <c r="AG36" i="2"/>
  <c r="AG40" i="2"/>
  <c r="AG44" i="2"/>
  <c r="AG48" i="2"/>
  <c r="AG52" i="2"/>
  <c r="AG56" i="2"/>
  <c r="AG60" i="2"/>
  <c r="AG64" i="2"/>
  <c r="AG68" i="2"/>
  <c r="AG72" i="2"/>
  <c r="AG77" i="2"/>
  <c r="AG85" i="2"/>
  <c r="AG89" i="2"/>
  <c r="AG93" i="2"/>
  <c r="AG97" i="2"/>
  <c r="AG101" i="2"/>
  <c r="AG109" i="2"/>
  <c r="AG113" i="2"/>
  <c r="AG121" i="2"/>
  <c r="AG125" i="2"/>
  <c r="AG129" i="2"/>
  <c r="AG137" i="2"/>
  <c r="AG145" i="2"/>
  <c r="AG149" i="2"/>
  <c r="AG158" i="2"/>
  <c r="AG166" i="2"/>
  <c r="AG174" i="2"/>
  <c r="AG182" i="2"/>
  <c r="AG190" i="2"/>
  <c r="AG198" i="2"/>
  <c r="AG206" i="2"/>
  <c r="AG214" i="2"/>
  <c r="AG222" i="2"/>
  <c r="AG230" i="2"/>
  <c r="AG14" i="2"/>
  <c r="AK14" i="2" s="1"/>
  <c r="AG168" i="2"/>
  <c r="AG176" i="2"/>
  <c r="AG184" i="2"/>
  <c r="AG192" i="2"/>
  <c r="AG200" i="2"/>
  <c r="AG208" i="2"/>
  <c r="AG216" i="2"/>
  <c r="AG224" i="2"/>
  <c r="AG232" i="2"/>
  <c r="AG228" i="2"/>
  <c r="AG162" i="2"/>
  <c r="AG170" i="2"/>
  <c r="AG178" i="2"/>
  <c r="AG186" i="2"/>
  <c r="AG194" i="2"/>
  <c r="AG202" i="2"/>
  <c r="AG210" i="2"/>
  <c r="AG218" i="2"/>
  <c r="AG226" i="2"/>
  <c r="AG234" i="2"/>
  <c r="AG164" i="2"/>
  <c r="AG172" i="2"/>
  <c r="AG180" i="2"/>
  <c r="AG188" i="2"/>
  <c r="AG196" i="2"/>
  <c r="AG204" i="2"/>
  <c r="AG212" i="2"/>
  <c r="AG220" i="2"/>
  <c r="AG236" i="2"/>
  <c r="AF160" i="1"/>
  <c r="AI160" i="1" s="1"/>
  <c r="AF92" i="1"/>
  <c r="AI92" i="1" s="1"/>
  <c r="AF162" i="1"/>
  <c r="AI162" i="1" s="1"/>
  <c r="AF76" i="1"/>
  <c r="AI76" i="1" s="1"/>
  <c r="AF29" i="1"/>
  <c r="AI29" i="1" s="1"/>
  <c r="AM135" i="1"/>
  <c r="AF135" i="1"/>
  <c r="AI135" i="1" s="1"/>
  <c r="AK187" i="1"/>
  <c r="AM187" i="1" s="1"/>
  <c r="AK114" i="1"/>
  <c r="AM114" i="1" s="1"/>
  <c r="AK38" i="1"/>
  <c r="AM38" i="1" s="1"/>
  <c r="AK205" i="1"/>
  <c r="AM205" i="1" s="1"/>
  <c r="AK69" i="1"/>
  <c r="AM69" i="1" s="1"/>
  <c r="AK28" i="1"/>
  <c r="AM28" i="1" s="1"/>
  <c r="AF182" i="1"/>
  <c r="AI182" i="1" s="1"/>
  <c r="AK51" i="1"/>
  <c r="AM51" i="1" s="1"/>
  <c r="AF219" i="1"/>
  <c r="AI219" i="1" s="1"/>
  <c r="AK219" i="1"/>
  <c r="AM219" i="1" s="1"/>
  <c r="AF212" i="1"/>
  <c r="AI212" i="1" s="1"/>
  <c r="AK212" i="1"/>
  <c r="AM212" i="1" s="1"/>
  <c r="AF174" i="1"/>
  <c r="AI174" i="1" s="1"/>
  <c r="AK174" i="1"/>
  <c r="AM174" i="1" s="1"/>
  <c r="AK141" i="1"/>
  <c r="AM141" i="1" s="1"/>
  <c r="AK44" i="1"/>
  <c r="AM44" i="1" s="1"/>
  <c r="AF143" i="1"/>
  <c r="AI143" i="1" s="1"/>
  <c r="AK143" i="1"/>
  <c r="AM143" i="1" s="1"/>
  <c r="AF158" i="1"/>
  <c r="AI158" i="1" s="1"/>
  <c r="AK158" i="1"/>
  <c r="AM158" i="1" s="1"/>
  <c r="AK18" i="1"/>
  <c r="AM18" i="1" s="1"/>
  <c r="AK54" i="1"/>
  <c r="AM54" i="1" s="1"/>
  <c r="AK90" i="1"/>
  <c r="AM90" i="1" s="1"/>
  <c r="AK165" i="1"/>
  <c r="AM165" i="1" s="1"/>
  <c r="AK53" i="1"/>
  <c r="AM53" i="1" s="1"/>
  <c r="AF215" i="1"/>
  <c r="AI215" i="1" s="1"/>
  <c r="AK215" i="1"/>
  <c r="AM215" i="1" s="1"/>
  <c r="AK206" i="1"/>
  <c r="AM206" i="1" s="1"/>
  <c r="AK20" i="1"/>
  <c r="AM20" i="1" s="1"/>
  <c r="AK175" i="1"/>
  <c r="AM175" i="1" s="1"/>
  <c r="AF75" i="1"/>
  <c r="AI75" i="1" s="1"/>
  <c r="AK75" i="1"/>
  <c r="AM75" i="1" s="1"/>
  <c r="AK208" i="1"/>
  <c r="AM208" i="1" s="1"/>
  <c r="AK64" i="1"/>
  <c r="AM64" i="1" s="1"/>
  <c r="AK163" i="1"/>
  <c r="AM163" i="1" s="1"/>
  <c r="AF40" i="1"/>
  <c r="AI40" i="1" s="1"/>
  <c r="AK40" i="1"/>
  <c r="AM40" i="1" s="1"/>
  <c r="AF170" i="1"/>
  <c r="AI170" i="1" s="1"/>
  <c r="AK170" i="1"/>
  <c r="AM170" i="1" s="1"/>
  <c r="AF129" i="1"/>
  <c r="AI129" i="1" s="1"/>
  <c r="AK129" i="1"/>
  <c r="AM129" i="1" s="1"/>
  <c r="AK197" i="1"/>
  <c r="AM197" i="1" s="1"/>
  <c r="AF128" i="1"/>
  <c r="AI128" i="1" s="1"/>
  <c r="AK128" i="1"/>
  <c r="AM128" i="1" s="1"/>
  <c r="AF23" i="1"/>
  <c r="AI23" i="1" s="1"/>
  <c r="AK23" i="1"/>
  <c r="AM23" i="1" s="1"/>
  <c r="AF94" i="1"/>
  <c r="AI94" i="1" s="1"/>
  <c r="AK94" i="1"/>
  <c r="AM94" i="1" s="1"/>
  <c r="AF132" i="1"/>
  <c r="AI132" i="1" s="1"/>
  <c r="AK132" i="1"/>
  <c r="AM132" i="1" s="1"/>
  <c r="AF165" i="1"/>
  <c r="AI165" i="1" s="1"/>
  <c r="AF187" i="1"/>
  <c r="AI187" i="1" s="1"/>
  <c r="AF44" i="1"/>
  <c r="AI44" i="1" s="1"/>
  <c r="AF69" i="1"/>
  <c r="AI69" i="1" s="1"/>
  <c r="AF57" i="1"/>
  <c r="AI57" i="1" s="1"/>
  <c r="AF112" i="1"/>
  <c r="AI112" i="1" s="1"/>
  <c r="AF208" i="1"/>
  <c r="AI208" i="1" s="1"/>
  <c r="AF206" i="1"/>
  <c r="AI206" i="1" s="1"/>
  <c r="AF114" i="1"/>
  <c r="AI114" i="1" s="1"/>
  <c r="AF51" i="1"/>
  <c r="AI51" i="1" s="1"/>
  <c r="AF141" i="1"/>
  <c r="AI141" i="1" s="1"/>
  <c r="AF205" i="1"/>
  <c r="AI205" i="1" s="1"/>
  <c r="AF197" i="1"/>
  <c r="AI197" i="1" s="1"/>
  <c r="AF64" i="1"/>
  <c r="AI64" i="1" s="1"/>
  <c r="AF84" i="1"/>
  <c r="AI84" i="1" s="1"/>
  <c r="AF175" i="1"/>
  <c r="AI175" i="1" s="1"/>
  <c r="AF163" i="1"/>
  <c r="AI163" i="1" s="1"/>
  <c r="AF137" i="1"/>
  <c r="AI137" i="1" s="1"/>
  <c r="AF53" i="1"/>
  <c r="AI53" i="1" s="1"/>
  <c r="AF18" i="1"/>
  <c r="AI18" i="1" s="1"/>
  <c r="AF52" i="1"/>
  <c r="AI52" i="1" s="1"/>
  <c r="AF113" i="1"/>
  <c r="AI113" i="1" s="1"/>
  <c r="AF36" i="1"/>
  <c r="AI36" i="1" s="1"/>
  <c r="AF38" i="1"/>
  <c r="AI38" i="1" s="1"/>
  <c r="AF54" i="1"/>
  <c r="AI54" i="1" s="1"/>
  <c r="AF97" i="1"/>
  <c r="AI97" i="1" s="1"/>
  <c r="AF90" i="1"/>
  <c r="AI90" i="1" s="1"/>
  <c r="AF22" i="1"/>
  <c r="AI22" i="1" s="1"/>
  <c r="AF20" i="1"/>
  <c r="AI20" i="1" s="1"/>
  <c r="AF131" i="1"/>
  <c r="AI131" i="1" s="1"/>
  <c r="AF204" i="1"/>
  <c r="AI204" i="1" s="1"/>
  <c r="AF33" i="1"/>
  <c r="AI33" i="1" s="1"/>
  <c r="AF88" i="1"/>
  <c r="AI88" i="1" s="1"/>
  <c r="AF71" i="1"/>
  <c r="AI71" i="1" s="1"/>
  <c r="AF134" i="1"/>
  <c r="AI134" i="1" s="1"/>
  <c r="AF213" i="1"/>
  <c r="AI213" i="1" s="1"/>
  <c r="AF48" i="1"/>
  <c r="AI48" i="1" s="1"/>
  <c r="AF130" i="1"/>
  <c r="AI130" i="1" s="1"/>
  <c r="AF102" i="1"/>
  <c r="AI102" i="1" s="1"/>
  <c r="AF183" i="1"/>
  <c r="AI183" i="1" s="1"/>
  <c r="AF196" i="1"/>
  <c r="AI196" i="1" s="1"/>
  <c r="AF115" i="1"/>
  <c r="AI115" i="1" s="1"/>
  <c r="AF21" i="1"/>
  <c r="AI21" i="1" s="1"/>
  <c r="AF167" i="1"/>
  <c r="AI167" i="1" s="1"/>
  <c r="AF98" i="1"/>
  <c r="AI98" i="1" s="1"/>
  <c r="AF216" i="1"/>
  <c r="AI216" i="1" s="1"/>
  <c r="AF32" i="1"/>
  <c r="AI32" i="1" s="1"/>
  <c r="AF96" i="1"/>
  <c r="AI96" i="1" s="1"/>
  <c r="AF151" i="1"/>
  <c r="AI151" i="1" s="1"/>
  <c r="AF50" i="1"/>
  <c r="AI50" i="1" s="1"/>
  <c r="AF191" i="1"/>
  <c r="AI191" i="1" s="1"/>
  <c r="AF119" i="1"/>
  <c r="AI119" i="1" s="1"/>
  <c r="AF37" i="1"/>
  <c r="AI37" i="1" s="1"/>
  <c r="AF177" i="1"/>
  <c r="AI177" i="1" s="1"/>
  <c r="AF120" i="1"/>
  <c r="AI120" i="1" s="1"/>
  <c r="AF39" i="1"/>
  <c r="AI39" i="1" s="1"/>
  <c r="AF214" i="1"/>
  <c r="AI214" i="1" s="1"/>
  <c r="AF99" i="1"/>
  <c r="AI99" i="1" s="1"/>
  <c r="AF25" i="1"/>
  <c r="AI25" i="1" s="1"/>
  <c r="AF79" i="1"/>
  <c r="AI79" i="1" s="1"/>
  <c r="AF153" i="1"/>
  <c r="AI153" i="1" s="1"/>
  <c r="AF65" i="1"/>
  <c r="AI65" i="1" s="1"/>
  <c r="AF178" i="1"/>
  <c r="AI178" i="1" s="1"/>
  <c r="AF124" i="1"/>
  <c r="AI124" i="1" s="1"/>
  <c r="AF49" i="1"/>
  <c r="AI49" i="1" s="1"/>
  <c r="AF74" i="1"/>
  <c r="AI74" i="1" s="1"/>
  <c r="AF145" i="1"/>
  <c r="AI145" i="1" s="1"/>
  <c r="AF138" i="1"/>
  <c r="AI138" i="1" s="1"/>
  <c r="AF189" i="1"/>
  <c r="AI189" i="1" s="1"/>
  <c r="AF203" i="1"/>
  <c r="AI203" i="1" s="1"/>
  <c r="AF83" i="1"/>
  <c r="AI83" i="1" s="1"/>
  <c r="AF146" i="1"/>
  <c r="AI146" i="1" s="1"/>
  <c r="AF201" i="1"/>
  <c r="AI201" i="1" s="1"/>
  <c r="AF61" i="1"/>
  <c r="AI61" i="1" s="1"/>
  <c r="AF121" i="1"/>
  <c r="AI121" i="1" s="1"/>
  <c r="AF26" i="1"/>
  <c r="AI26" i="1" s="1"/>
  <c r="AF207" i="1"/>
  <c r="AI207" i="1" s="1"/>
  <c r="AF171" i="1"/>
  <c r="AI171" i="1" s="1"/>
  <c r="AF67" i="1"/>
  <c r="AI67" i="1" s="1"/>
  <c r="AF161" i="1"/>
  <c r="AI161" i="1" s="1"/>
  <c r="AF210" i="1"/>
  <c r="AI210" i="1" s="1"/>
  <c r="AF73" i="1"/>
  <c r="AI73" i="1" s="1"/>
  <c r="AF56" i="1"/>
  <c r="AI56" i="1" s="1"/>
  <c r="AF118" i="1"/>
  <c r="AI118" i="1" s="1"/>
  <c r="AF164" i="1"/>
  <c r="AI164" i="1" s="1"/>
  <c r="AF109" i="1"/>
  <c r="AI109" i="1" s="1"/>
  <c r="AF105" i="1"/>
  <c r="AI105" i="1" s="1"/>
  <c r="AF157" i="1"/>
  <c r="AI157" i="1" s="1"/>
  <c r="AF193" i="1"/>
  <c r="AI193" i="1" s="1"/>
  <c r="AF106" i="1"/>
  <c r="AI106" i="1" s="1"/>
  <c r="AF123" i="1"/>
  <c r="AI123" i="1" s="1"/>
  <c r="AF192" i="1"/>
  <c r="AI192" i="1" s="1"/>
  <c r="AF111" i="1"/>
  <c r="AI111" i="1" s="1"/>
  <c r="AF185" i="1"/>
  <c r="AI185" i="1" s="1"/>
  <c r="AF220" i="1"/>
  <c r="AI220" i="1" s="1"/>
  <c r="AF27" i="1"/>
  <c r="AI27" i="1" s="1"/>
  <c r="AF104" i="1"/>
  <c r="AI104" i="1" s="1"/>
  <c r="AF28" i="1"/>
  <c r="AI28" i="1" s="1"/>
  <c r="AF159" i="1"/>
  <c r="AI159" i="1" s="1"/>
  <c r="AF202" i="1"/>
  <c r="AI202" i="1" s="1"/>
  <c r="AF41" i="1"/>
  <c r="AI41" i="1" s="1"/>
  <c r="AF101" i="1"/>
  <c r="AI101" i="1" s="1"/>
  <c r="AF168" i="1"/>
  <c r="AI168" i="1" s="1"/>
  <c r="AF190" i="1"/>
  <c r="AI190" i="1" s="1"/>
  <c r="AF77" i="1"/>
  <c r="AI77" i="1" s="1"/>
  <c r="AF42" i="1"/>
  <c r="AI42" i="1" s="1"/>
  <c r="AF125" i="1"/>
  <c r="AI125" i="1" s="1"/>
  <c r="AF200" i="1"/>
  <c r="AI200" i="1" s="1"/>
  <c r="AF188" i="1"/>
  <c r="AI188" i="1" s="1"/>
  <c r="AF81" i="1"/>
  <c r="AI81" i="1" s="1"/>
  <c r="AF149" i="1"/>
  <c r="AI149" i="1" s="1"/>
  <c r="AF184" i="1"/>
  <c r="AI184" i="1" s="1"/>
  <c r="AF100" i="1"/>
  <c r="AI100" i="1" s="1"/>
  <c r="AF31" i="1"/>
  <c r="AI31" i="1" s="1"/>
  <c r="AF107" i="1"/>
  <c r="AI107" i="1" s="1"/>
  <c r="AF198" i="1"/>
  <c r="AI198" i="1" s="1"/>
  <c r="AF199" i="1"/>
  <c r="AI199" i="1" s="1"/>
  <c r="AF78" i="1"/>
  <c r="AI78" i="1" s="1"/>
  <c r="AF34" i="1"/>
  <c r="AI34" i="1" s="1"/>
  <c r="AF45" i="1"/>
  <c r="AI45" i="1" s="1"/>
  <c r="AF136" i="1"/>
  <c r="AI136" i="1" s="1"/>
  <c r="AF66" i="1"/>
  <c r="AI66" i="1" s="1"/>
  <c r="AF169" i="1"/>
  <c r="AI169" i="1" s="1"/>
  <c r="AF126" i="1"/>
  <c r="AI126" i="1" s="1"/>
  <c r="AF59" i="1"/>
  <c r="AI59" i="1" s="1"/>
  <c r="AF47" i="1"/>
  <c r="AI47" i="1" s="1"/>
  <c r="AF223" i="1"/>
  <c r="AI223" i="1" s="1"/>
  <c r="AF95" i="1"/>
  <c r="AI95" i="1" s="1"/>
  <c r="AF211" i="1"/>
  <c r="AI211" i="1" s="1"/>
  <c r="AF150" i="1"/>
  <c r="AI150" i="1" s="1"/>
  <c r="AF87" i="1"/>
  <c r="AI87" i="1" s="1"/>
  <c r="AF19" i="1"/>
  <c r="AI19" i="1" s="1"/>
  <c r="AF152" i="1"/>
  <c r="AI152" i="1" s="1"/>
  <c r="AF85" i="1"/>
  <c r="AI85" i="1" s="1"/>
  <c r="AF222" i="1"/>
  <c r="AI222" i="1" s="1"/>
  <c r="AF142" i="1"/>
  <c r="AI142" i="1" s="1"/>
  <c r="AF68" i="1"/>
  <c r="AI68" i="1" s="1"/>
  <c r="AF147" i="1"/>
  <c r="AI147" i="1" s="1"/>
  <c r="AF60" i="1"/>
  <c r="AI60" i="1" s="1"/>
  <c r="AF217" i="1"/>
  <c r="AI217" i="1" s="1"/>
  <c r="AF110" i="1"/>
  <c r="AI110" i="1" s="1"/>
  <c r="AF221" i="1"/>
  <c r="AI221" i="1" s="1"/>
  <c r="AF155" i="1"/>
  <c r="AI155" i="1" s="1"/>
  <c r="AF80" i="1"/>
  <c r="AI80" i="1" s="1"/>
  <c r="AF148" i="1"/>
  <c r="AI148" i="1" s="1"/>
  <c r="AF179" i="1"/>
  <c r="AI179" i="1" s="1"/>
  <c r="AF46" i="1"/>
  <c r="AI46" i="1" s="1"/>
  <c r="AF108" i="1"/>
  <c r="AI108" i="1" s="1"/>
  <c r="AF156" i="1"/>
  <c r="AI156" i="1" s="1"/>
  <c r="AF24" i="1"/>
  <c r="AI24" i="1" s="1"/>
  <c r="AF133" i="1"/>
  <c r="AI133" i="1" s="1"/>
  <c r="AF218" i="1"/>
  <c r="AI218" i="1" s="1"/>
  <c r="AF35" i="1"/>
  <c r="AI35" i="1" s="1"/>
  <c r="AF72" i="1"/>
  <c r="AI72" i="1" s="1"/>
  <c r="AF89" i="1"/>
  <c r="AI89" i="1" s="1"/>
  <c r="AF144" i="1"/>
  <c r="AI144" i="1" s="1"/>
  <c r="AF172" i="1"/>
  <c r="AI172" i="1" s="1"/>
  <c r="AF62" i="1"/>
  <c r="AI62" i="1" s="1"/>
  <c r="AF116" i="1"/>
  <c r="AI116" i="1" s="1"/>
  <c r="AF30" i="1"/>
  <c r="AI30" i="1" s="1"/>
  <c r="AF181" i="1"/>
  <c r="AI181" i="1" s="1"/>
  <c r="AF209" i="1"/>
  <c r="AI209" i="1" s="1"/>
  <c r="AF58" i="1"/>
  <c r="AI58" i="1" s="1"/>
  <c r="AF140" i="1"/>
  <c r="AI140" i="1" s="1"/>
  <c r="AF194" i="1"/>
  <c r="AI194" i="1" s="1"/>
  <c r="AF43" i="1"/>
  <c r="AI43" i="1" s="1"/>
  <c r="AF70" i="1"/>
  <c r="AI70" i="1" s="1"/>
  <c r="AF176" i="1"/>
  <c r="AI176" i="1" s="1"/>
  <c r="AF82" i="1"/>
  <c r="AI82" i="1" s="1"/>
  <c r="AF139" i="1"/>
  <c r="AI139" i="1" s="1"/>
  <c r="AF63" i="1"/>
  <c r="AI63" i="1" s="1"/>
  <c r="AF117" i="1"/>
  <c r="AI117" i="1" s="1"/>
  <c r="AF166" i="1"/>
  <c r="AI166" i="1" s="1"/>
  <c r="AF195" i="1"/>
  <c r="AI195" i="1" s="1"/>
  <c r="AF91" i="1"/>
  <c r="AI91" i="1" s="1"/>
  <c r="AF55" i="1"/>
  <c r="AI55" i="1" s="1"/>
  <c r="AF122" i="1"/>
  <c r="AI122" i="1" s="1"/>
  <c r="AF173" i="1"/>
  <c r="AI173" i="1" s="1"/>
  <c r="AF93" i="1"/>
  <c r="AI93" i="1" s="1"/>
  <c r="AF154" i="1"/>
  <c r="AI154" i="1" s="1"/>
  <c r="AF180" i="1"/>
  <c r="AI180" i="1" s="1"/>
  <c r="AF103" i="1"/>
  <c r="AI103" i="1" s="1"/>
  <c r="S52" i="2" l="1"/>
  <c r="S198" i="2"/>
  <c r="S41" i="2"/>
  <c r="S106" i="2"/>
  <c r="S171" i="2"/>
  <c r="S235" i="2"/>
  <c r="S79" i="2"/>
  <c r="S208" i="2"/>
  <c r="S117" i="2"/>
  <c r="S214" i="2"/>
  <c r="S57" i="2"/>
  <c r="S122" i="2"/>
  <c r="S187" i="2"/>
  <c r="S72" i="2"/>
  <c r="S111" i="2"/>
  <c r="S224" i="2"/>
  <c r="S158" i="2"/>
  <c r="S230" i="2"/>
  <c r="S73" i="2"/>
  <c r="S138" i="2"/>
  <c r="S203" i="2"/>
  <c r="S125" i="2"/>
  <c r="S127" i="2"/>
  <c r="S160" i="2"/>
  <c r="S68" i="2"/>
  <c r="S176" i="2"/>
  <c r="S63" i="2"/>
  <c r="V225" i="1"/>
  <c r="V226" i="1" s="1"/>
  <c r="V227" i="1" s="1"/>
  <c r="AK224" i="1"/>
  <c r="AK226" i="1" s="1"/>
  <c r="S192" i="2"/>
  <c r="AK152" i="2"/>
  <c r="AI152" i="2"/>
  <c r="S40" i="2"/>
  <c r="S137" i="2"/>
  <c r="S190" i="2"/>
  <c r="S222" i="2"/>
  <c r="S33" i="2"/>
  <c r="S65" i="2"/>
  <c r="S98" i="2"/>
  <c r="S130" i="2"/>
  <c r="S163" i="2"/>
  <c r="S195" i="2"/>
  <c r="S227" i="2"/>
  <c r="S97" i="2"/>
  <c r="S54" i="2"/>
  <c r="S119" i="2"/>
  <c r="S151" i="2"/>
  <c r="S184" i="2"/>
  <c r="S216" i="2"/>
  <c r="S48" i="2"/>
  <c r="S22" i="2"/>
  <c r="S31" i="2"/>
  <c r="S93" i="2"/>
  <c r="S174" i="2"/>
  <c r="S206" i="2"/>
  <c r="S17" i="2"/>
  <c r="S49" i="2"/>
  <c r="S82" i="2"/>
  <c r="S114" i="2"/>
  <c r="S146" i="2"/>
  <c r="S179" i="2"/>
  <c r="S211" i="2"/>
  <c r="S36" i="2"/>
  <c r="S162" i="2"/>
  <c r="S99" i="2"/>
  <c r="S135" i="2"/>
  <c r="S168" i="2"/>
  <c r="S200" i="2"/>
  <c r="S232" i="2"/>
  <c r="S89" i="2"/>
  <c r="S70" i="2"/>
  <c r="S96" i="2"/>
  <c r="S24" i="2"/>
  <c r="S109" i="2"/>
  <c r="S83" i="2"/>
  <c r="S128" i="2"/>
  <c r="S23" i="2"/>
  <c r="S55" i="2"/>
  <c r="S88" i="2"/>
  <c r="S120" i="2"/>
  <c r="S133" i="2"/>
  <c r="S46" i="2"/>
  <c r="S95" i="2"/>
  <c r="S39" i="2"/>
  <c r="S71" i="2"/>
  <c r="S104" i="2"/>
  <c r="S157" i="2"/>
  <c r="S154" i="2"/>
  <c r="S58" i="2"/>
  <c r="S15" i="2"/>
  <c r="S47" i="2"/>
  <c r="S80" i="2"/>
  <c r="S112" i="2"/>
  <c r="S189" i="2"/>
  <c r="S44" i="2"/>
  <c r="S105" i="2"/>
  <c r="S149" i="2"/>
  <c r="S178" i="2"/>
  <c r="S194" i="2"/>
  <c r="S210" i="2"/>
  <c r="S226" i="2"/>
  <c r="S21" i="2"/>
  <c r="S37" i="2"/>
  <c r="S53" i="2"/>
  <c r="S69" i="2"/>
  <c r="S86" i="2"/>
  <c r="S102" i="2"/>
  <c r="S118" i="2"/>
  <c r="S134" i="2"/>
  <c r="S150" i="2"/>
  <c r="S167" i="2"/>
  <c r="S183" i="2"/>
  <c r="S199" i="2"/>
  <c r="S215" i="2"/>
  <c r="S231" i="2"/>
  <c r="S56" i="2"/>
  <c r="S113" i="2"/>
  <c r="T113" i="2" s="1"/>
  <c r="S18" i="2"/>
  <c r="S66" i="2"/>
  <c r="S103" i="2"/>
  <c r="S123" i="2"/>
  <c r="S139" i="2"/>
  <c r="S156" i="2"/>
  <c r="S172" i="2"/>
  <c r="S188" i="2"/>
  <c r="S204" i="2"/>
  <c r="S220" i="2"/>
  <c r="S237" i="2"/>
  <c r="S60" i="2"/>
  <c r="S101" i="2"/>
  <c r="S145" i="2"/>
  <c r="S26" i="2"/>
  <c r="S50" i="2"/>
  <c r="S74" i="2"/>
  <c r="S107" i="2"/>
  <c r="S27" i="2"/>
  <c r="S43" i="2"/>
  <c r="S59" i="2"/>
  <c r="S75" i="2"/>
  <c r="S92" i="2"/>
  <c r="S108" i="2"/>
  <c r="S124" i="2"/>
  <c r="S173" i="2"/>
  <c r="S28" i="2"/>
  <c r="S64" i="2"/>
  <c r="S129" i="2"/>
  <c r="S170" i="2"/>
  <c r="S186" i="2"/>
  <c r="S202" i="2"/>
  <c r="S218" i="2"/>
  <c r="S234" i="2"/>
  <c r="S29" i="2"/>
  <c r="S45" i="2"/>
  <c r="S61" i="2"/>
  <c r="S78" i="2"/>
  <c r="S94" i="2"/>
  <c r="S110" i="2"/>
  <c r="S126" i="2"/>
  <c r="S142" i="2"/>
  <c r="S159" i="2"/>
  <c r="S175" i="2"/>
  <c r="S191" i="2"/>
  <c r="S207" i="2"/>
  <c r="S223" i="2"/>
  <c r="S20" i="2"/>
  <c r="S85" i="2"/>
  <c r="S141" i="2"/>
  <c r="S42" i="2"/>
  <c r="S91" i="2"/>
  <c r="S115" i="2"/>
  <c r="S131" i="2"/>
  <c r="S147" i="2"/>
  <c r="S164" i="2"/>
  <c r="S180" i="2"/>
  <c r="S196" i="2"/>
  <c r="S212" i="2"/>
  <c r="S228" i="2"/>
  <c r="S32" i="2"/>
  <c r="S81" i="2"/>
  <c r="S121" i="2"/>
  <c r="S166" i="2"/>
  <c r="S38" i="2"/>
  <c r="S62" i="2"/>
  <c r="S87" i="2"/>
  <c r="S19" i="2"/>
  <c r="S35" i="2"/>
  <c r="S51" i="2"/>
  <c r="S67" i="2"/>
  <c r="S84" i="2"/>
  <c r="S100" i="2"/>
  <c r="S116" i="2"/>
  <c r="S140" i="2"/>
  <c r="S205" i="2"/>
  <c r="S225" i="2"/>
  <c r="S136" i="2"/>
  <c r="S153" i="2"/>
  <c r="S169" i="2"/>
  <c r="S185" i="2"/>
  <c r="S201" i="2"/>
  <c r="S217" i="2"/>
  <c r="S144" i="2"/>
  <c r="S161" i="2"/>
  <c r="S177" i="2"/>
  <c r="S193" i="2"/>
  <c r="S209" i="2"/>
  <c r="S229" i="2"/>
  <c r="S132" i="2"/>
  <c r="S148" i="2"/>
  <c r="S165" i="2"/>
  <c r="S181" i="2"/>
  <c r="S197" i="2"/>
  <c r="S213" i="2"/>
  <c r="S14" i="2"/>
  <c r="S77" i="2"/>
  <c r="S233" i="2"/>
  <c r="S76" i="2"/>
  <c r="AH76" i="2" s="1"/>
  <c r="S221" i="2"/>
  <c r="S236" i="2"/>
  <c r="T152" i="2"/>
  <c r="AH152" i="2"/>
  <c r="AJ152" i="2" s="1"/>
  <c r="V152" i="2"/>
  <c r="AC152" i="2"/>
  <c r="AF152" i="2" s="1"/>
  <c r="AI76" i="2"/>
  <c r="AK76" i="2"/>
  <c r="T14" i="2"/>
  <c r="U164" i="1"/>
  <c r="Q27" i="3"/>
  <c r="U223" i="1"/>
  <c r="AG223" i="1" s="1"/>
  <c r="U167" i="1"/>
  <c r="AG167" i="1" s="1"/>
  <c r="U178" i="1"/>
  <c r="AG178" i="1" s="1"/>
  <c r="U180" i="1"/>
  <c r="AG180" i="1" s="1"/>
  <c r="U197" i="1"/>
  <c r="AG197" i="1" s="1"/>
  <c r="U221" i="1"/>
  <c r="AG221" i="1" s="1"/>
  <c r="U198" i="1"/>
  <c r="U165" i="1"/>
  <c r="U170" i="1"/>
  <c r="AG170" i="1" s="1"/>
  <c r="U181" i="1"/>
  <c r="AG181" i="1" s="1"/>
  <c r="U169" i="1"/>
  <c r="AG169" i="1" s="1"/>
  <c r="U217" i="1"/>
  <c r="AG217" i="1" s="1"/>
  <c r="U177" i="1"/>
  <c r="AG177" i="1" s="1"/>
  <c r="U206" i="1"/>
  <c r="AG206" i="1" s="1"/>
  <c r="U168" i="1"/>
  <c r="U220" i="1"/>
  <c r="AG220" i="1" s="1"/>
  <c r="U209" i="1"/>
  <c r="AG209" i="1" s="1"/>
  <c r="U216" i="1"/>
  <c r="AG216" i="1" s="1"/>
  <c r="U215" i="1"/>
  <c r="AG215" i="1" s="1"/>
  <c r="U166" i="1"/>
  <c r="AG166" i="1" s="1"/>
  <c r="Q37" i="3"/>
  <c r="U202" i="1"/>
  <c r="AG202" i="1" s="1"/>
  <c r="U203" i="1"/>
  <c r="AG203" i="1" s="1"/>
  <c r="U195" i="1"/>
  <c r="AG195" i="1" s="1"/>
  <c r="U214" i="1"/>
  <c r="AG214" i="1" s="1"/>
  <c r="U199" i="1"/>
  <c r="AG199" i="1" s="1"/>
  <c r="U188" i="1"/>
  <c r="AG188" i="1" s="1"/>
  <c r="U201" i="1"/>
  <c r="U196" i="1"/>
  <c r="AG196" i="1" s="1"/>
  <c r="U218" i="1"/>
  <c r="AG218" i="1" s="1"/>
  <c r="U207" i="1"/>
  <c r="AG207" i="1" s="1"/>
  <c r="U208" i="1"/>
  <c r="AG208" i="1" s="1"/>
  <c r="U190" i="1"/>
  <c r="AG190" i="1" s="1"/>
  <c r="U173" i="1"/>
  <c r="U205" i="1"/>
  <c r="AG205" i="1" s="1"/>
  <c r="U211" i="1"/>
  <c r="AG211" i="1" s="1"/>
  <c r="U193" i="1"/>
  <c r="U185" i="1"/>
  <c r="U171" i="1"/>
  <c r="U210" i="1"/>
  <c r="U204" i="1"/>
  <c r="AG204" i="1" s="1"/>
  <c r="U186" i="1"/>
  <c r="AG186" i="1" s="1"/>
  <c r="U200" i="1"/>
  <c r="U191" i="1"/>
  <c r="AG191" i="1" s="1"/>
  <c r="U182" i="1"/>
  <c r="AG182" i="1" s="1"/>
  <c r="U192" i="1"/>
  <c r="U183" i="1"/>
  <c r="AG183" i="1" s="1"/>
  <c r="U174" i="1"/>
  <c r="AG174" i="1" s="1"/>
  <c r="U187" i="1"/>
  <c r="AG187" i="1" s="1"/>
  <c r="U189" i="1"/>
  <c r="U179" i="1"/>
  <c r="U219" i="1"/>
  <c r="U212" i="1"/>
  <c r="AG212" i="1" s="1"/>
  <c r="U194" i="1"/>
  <c r="AG194" i="1" s="1"/>
  <c r="U213" i="1"/>
  <c r="AG213" i="1" s="1"/>
  <c r="U172" i="1"/>
  <c r="Q26" i="3"/>
  <c r="U184" i="1"/>
  <c r="U175" i="1"/>
  <c r="AG175" i="1" s="1"/>
  <c r="Q28" i="3"/>
  <c r="U176" i="1"/>
  <c r="AG176" i="1" s="1"/>
  <c r="U222" i="1"/>
  <c r="AG222" i="1" s="1"/>
  <c r="AG164" i="1"/>
  <c r="AB164" i="1"/>
  <c r="AD164" i="1" s="1"/>
  <c r="F28" i="5"/>
  <c r="F27" i="5"/>
  <c r="Y224" i="1"/>
  <c r="AF224" i="1"/>
  <c r="AI224" i="1" s="1"/>
  <c r="AI225" i="1" s="1"/>
  <c r="Z216" i="1"/>
  <c r="Z32" i="1"/>
  <c r="Z47" i="1"/>
  <c r="Z141" i="1"/>
  <c r="Z217" i="1"/>
  <c r="AA92" i="1"/>
  <c r="Z120" i="1"/>
  <c r="Z204" i="1"/>
  <c r="Z95" i="1"/>
  <c r="Z119" i="1"/>
  <c r="Z212" i="1"/>
  <c r="AA70" i="1"/>
  <c r="Z38" i="1"/>
  <c r="Z57" i="1"/>
  <c r="AA213" i="1"/>
  <c r="AA88" i="1"/>
  <c r="Z160" i="1"/>
  <c r="AA29" i="1"/>
  <c r="Z99" i="1"/>
  <c r="AA140" i="1"/>
  <c r="AA130" i="1"/>
  <c r="Z208" i="1"/>
  <c r="AA48" i="1"/>
  <c r="AA134" i="1"/>
  <c r="Z205" i="1"/>
  <c r="Z50" i="1"/>
  <c r="Z186" i="1"/>
  <c r="AA86" i="1"/>
  <c r="Z161" i="1"/>
  <c r="Z39" i="1"/>
  <c r="AA162" i="1"/>
  <c r="AA36" i="1"/>
  <c r="Z115" i="1"/>
  <c r="Z169" i="1"/>
  <c r="Z153" i="1"/>
  <c r="AA183" i="1"/>
  <c r="Z87" i="1"/>
  <c r="AA158" i="1"/>
  <c r="Z30" i="1"/>
  <c r="Z112" i="1"/>
  <c r="AA176" i="1"/>
  <c r="Z206" i="1"/>
  <c r="Z116" i="1"/>
  <c r="Z222" i="1"/>
  <c r="AA75" i="1"/>
  <c r="Z147" i="1"/>
  <c r="Z211" i="1"/>
  <c r="AA181" i="1"/>
  <c r="Z221" i="1"/>
  <c r="AA94" i="1"/>
  <c r="Z128" i="1"/>
  <c r="Z223" i="1"/>
  <c r="Z80" i="1"/>
  <c r="Z25" i="1"/>
  <c r="AA22" i="1"/>
  <c r="Z187" i="1"/>
  <c r="Z131" i="1"/>
  <c r="AA84" i="1"/>
  <c r="Z126" i="1"/>
  <c r="Z110" i="1"/>
  <c r="Z49" i="1"/>
  <c r="AA132" i="1"/>
  <c r="Z174" i="1"/>
  <c r="Z85" i="1"/>
  <c r="AA102" i="1"/>
  <c r="Z177" i="1"/>
  <c r="Z52" i="1"/>
  <c r="Z214" i="1"/>
  <c r="AA44" i="1"/>
  <c r="Z191" i="1"/>
  <c r="Z135" i="1"/>
  <c r="Z167" i="1"/>
  <c r="Z178" i="1"/>
  <c r="AA194" i="1"/>
  <c r="AA58" i="1"/>
  <c r="AA209" i="1"/>
  <c r="Z69" i="1"/>
  <c r="Z21" i="1"/>
  <c r="AA175" i="1"/>
  <c r="AA63" i="1"/>
  <c r="AA137" i="1"/>
  <c r="Z19" i="1"/>
  <c r="AA97" i="1"/>
  <c r="Z151" i="1"/>
  <c r="Z20" i="1"/>
  <c r="Z196" i="1"/>
  <c r="Z53" i="1"/>
  <c r="Z68" i="1"/>
  <c r="Z65" i="1"/>
  <c r="AA139" i="1"/>
  <c r="Z96" i="1"/>
  <c r="Z182" i="1"/>
  <c r="AA43" i="1"/>
  <c r="Z127" i="1"/>
  <c r="AA71" i="1"/>
  <c r="Z152" i="1"/>
  <c r="Z150" i="1"/>
  <c r="AA76" i="1"/>
  <c r="Z98" i="1"/>
  <c r="Z155" i="1"/>
  <c r="Z197" i="1"/>
  <c r="Z51" i="1"/>
  <c r="Z23" i="1"/>
  <c r="AA81" i="1"/>
  <c r="Z113" i="1"/>
  <c r="Z66" i="1"/>
  <c r="Z136" i="1"/>
  <c r="AA186" i="1"/>
  <c r="Z29" i="1"/>
  <c r="Z84" i="1"/>
  <c r="Z86" i="1"/>
  <c r="AA187" i="1"/>
  <c r="Z44" i="1"/>
  <c r="AA51" i="1"/>
  <c r="AI204" i="2"/>
  <c r="AK204" i="2"/>
  <c r="T204" i="2" s="1"/>
  <c r="AI172" i="2"/>
  <c r="AK172" i="2"/>
  <c r="AI218" i="2"/>
  <c r="AK218" i="2"/>
  <c r="T218" i="2" s="1"/>
  <c r="AI186" i="2"/>
  <c r="AK186" i="2"/>
  <c r="AI228" i="2"/>
  <c r="AK228" i="2"/>
  <c r="AI208" i="2"/>
  <c r="AK208" i="2"/>
  <c r="AI176" i="2"/>
  <c r="AK176" i="2"/>
  <c r="T176" i="2" s="1"/>
  <c r="AI222" i="2"/>
  <c r="AK222" i="2"/>
  <c r="AI190" i="2"/>
  <c r="AK190" i="2"/>
  <c r="AI158" i="2"/>
  <c r="AK158" i="2"/>
  <c r="T158" i="2" s="1"/>
  <c r="AI129" i="2"/>
  <c r="AK129" i="2"/>
  <c r="T129" i="2" s="1"/>
  <c r="AI109" i="2"/>
  <c r="AK109" i="2"/>
  <c r="T109" i="2" s="1"/>
  <c r="AI89" i="2"/>
  <c r="AK89" i="2"/>
  <c r="T89" i="2" s="1"/>
  <c r="AI68" i="2"/>
  <c r="AK68" i="2"/>
  <c r="T68" i="2" s="1"/>
  <c r="AI52" i="2"/>
  <c r="AK52" i="2"/>
  <c r="T52" i="2" s="1"/>
  <c r="AI36" i="2"/>
  <c r="AK36" i="2"/>
  <c r="T36" i="2" s="1"/>
  <c r="AI16" i="2"/>
  <c r="AK16" i="2"/>
  <c r="T16" i="2" s="1"/>
  <c r="AI225" i="2"/>
  <c r="AK225" i="2"/>
  <c r="T225" i="2" s="1"/>
  <c r="AI209" i="2"/>
  <c r="AK209" i="2"/>
  <c r="AI193" i="2"/>
  <c r="AK193" i="2"/>
  <c r="AI177" i="2"/>
  <c r="AK177" i="2"/>
  <c r="AI161" i="2"/>
  <c r="AK161" i="2"/>
  <c r="T161" i="2" s="1"/>
  <c r="AI144" i="2"/>
  <c r="AK144" i="2"/>
  <c r="AI128" i="2"/>
  <c r="AK128" i="2"/>
  <c r="AI112" i="2"/>
  <c r="AK112" i="2"/>
  <c r="AI96" i="2"/>
  <c r="AK96" i="2"/>
  <c r="AI80" i="2"/>
  <c r="AK80" i="2"/>
  <c r="AI63" i="2"/>
  <c r="AK63" i="2"/>
  <c r="T63" i="2" s="1"/>
  <c r="AI47" i="2"/>
  <c r="AK47" i="2"/>
  <c r="AI31" i="2"/>
  <c r="AK31" i="2"/>
  <c r="AI15" i="2"/>
  <c r="AK15" i="2"/>
  <c r="T15" i="2" s="1"/>
  <c r="AI119" i="2"/>
  <c r="AK119" i="2"/>
  <c r="T119" i="2" s="1"/>
  <c r="AI160" i="2"/>
  <c r="AK160" i="2"/>
  <c r="T160" i="2" s="1"/>
  <c r="AI135" i="2"/>
  <c r="AK135" i="2"/>
  <c r="T135" i="2" s="1"/>
  <c r="AI111" i="2"/>
  <c r="AK111" i="2"/>
  <c r="T111" i="2" s="1"/>
  <c r="AI91" i="2"/>
  <c r="AK91" i="2"/>
  <c r="AI70" i="2"/>
  <c r="AK70" i="2"/>
  <c r="AI54" i="2"/>
  <c r="AK54" i="2"/>
  <c r="T54" i="2" s="1"/>
  <c r="AI34" i="2"/>
  <c r="AK34" i="2"/>
  <c r="T34" i="2" s="1"/>
  <c r="AI18" i="2"/>
  <c r="AK18" i="2"/>
  <c r="T18" i="2" s="1"/>
  <c r="AI223" i="2"/>
  <c r="AK223" i="2"/>
  <c r="AI207" i="2"/>
  <c r="AK207" i="2"/>
  <c r="T207" i="2" s="1"/>
  <c r="AI191" i="2"/>
  <c r="AK191" i="2"/>
  <c r="T191" i="2" s="1"/>
  <c r="AI175" i="2"/>
  <c r="AK175" i="2"/>
  <c r="AI159" i="2"/>
  <c r="AK159" i="2"/>
  <c r="AI142" i="2"/>
  <c r="AK142" i="2"/>
  <c r="T142" i="2" s="1"/>
  <c r="AI126" i="2"/>
  <c r="AK126" i="2"/>
  <c r="T126" i="2" s="1"/>
  <c r="AI110" i="2"/>
  <c r="AK110" i="2"/>
  <c r="AI94" i="2"/>
  <c r="AK94" i="2"/>
  <c r="AI78" i="2"/>
  <c r="AK78" i="2"/>
  <c r="T78" i="2" s="1"/>
  <c r="AI61" i="2"/>
  <c r="AK61" i="2"/>
  <c r="T61" i="2" s="1"/>
  <c r="AI45" i="2"/>
  <c r="AK45" i="2"/>
  <c r="AI29" i="2"/>
  <c r="AK29" i="2"/>
  <c r="AI154" i="2"/>
  <c r="AK154" i="2"/>
  <c r="AI105" i="2"/>
  <c r="AK105" i="2"/>
  <c r="AI236" i="2"/>
  <c r="AK236" i="2"/>
  <c r="T236" i="2" s="1"/>
  <c r="AI196" i="2"/>
  <c r="AK196" i="2"/>
  <c r="AI164" i="2"/>
  <c r="AK164" i="2"/>
  <c r="AI210" i="2"/>
  <c r="AK210" i="2"/>
  <c r="AI178" i="2"/>
  <c r="AK178" i="2"/>
  <c r="T178" i="2" s="1"/>
  <c r="AI232" i="2"/>
  <c r="AK232" i="2"/>
  <c r="T232" i="2" s="1"/>
  <c r="AI200" i="2"/>
  <c r="AK200" i="2"/>
  <c r="AI168" i="2"/>
  <c r="AK168" i="2"/>
  <c r="AI214" i="2"/>
  <c r="AK214" i="2"/>
  <c r="T214" i="2" s="1"/>
  <c r="AI182" i="2"/>
  <c r="AK182" i="2"/>
  <c r="T182" i="2" s="1"/>
  <c r="AI149" i="2"/>
  <c r="AK149" i="2"/>
  <c r="AI125" i="2"/>
  <c r="AK125" i="2"/>
  <c r="T125" i="2" s="1"/>
  <c r="AI101" i="2"/>
  <c r="AK101" i="2"/>
  <c r="T101" i="2" s="1"/>
  <c r="AI85" i="2"/>
  <c r="AK85" i="2"/>
  <c r="T85" i="2" s="1"/>
  <c r="AI64" i="2"/>
  <c r="AK64" i="2"/>
  <c r="AI48" i="2"/>
  <c r="AK48" i="2"/>
  <c r="T48" i="2" s="1"/>
  <c r="AI28" i="2"/>
  <c r="AK28" i="2"/>
  <c r="AI237" i="2"/>
  <c r="AK237" i="2"/>
  <c r="AI221" i="2"/>
  <c r="AK221" i="2"/>
  <c r="AI205" i="2"/>
  <c r="AK205" i="2"/>
  <c r="AI189" i="2"/>
  <c r="AK189" i="2"/>
  <c r="T189" i="2" s="1"/>
  <c r="AI173" i="2"/>
  <c r="AK173" i="2"/>
  <c r="AI157" i="2"/>
  <c r="AK157" i="2"/>
  <c r="G18" i="5" s="1"/>
  <c r="AI140" i="2"/>
  <c r="AK140" i="2"/>
  <c r="AI124" i="2"/>
  <c r="AK124" i="2"/>
  <c r="T124" i="2" s="1"/>
  <c r="AI108" i="2"/>
  <c r="AK108" i="2"/>
  <c r="AI92" i="2"/>
  <c r="AK92" i="2"/>
  <c r="AI75" i="2"/>
  <c r="AK75" i="2"/>
  <c r="AI59" i="2"/>
  <c r="AK59" i="2"/>
  <c r="T59" i="2" s="1"/>
  <c r="AI43" i="2"/>
  <c r="AK43" i="2"/>
  <c r="AI27" i="2"/>
  <c r="AK27" i="2"/>
  <c r="AI151" i="2"/>
  <c r="AK151" i="2"/>
  <c r="AI103" i="2"/>
  <c r="AK103" i="2"/>
  <c r="AI156" i="2"/>
  <c r="AK156" i="2"/>
  <c r="AI127" i="2"/>
  <c r="AK127" i="2"/>
  <c r="T127" i="2" s="1"/>
  <c r="AI107" i="2"/>
  <c r="AK107" i="2"/>
  <c r="AI83" i="2"/>
  <c r="AK83" i="2"/>
  <c r="T83" i="2" s="1"/>
  <c r="AI66" i="2"/>
  <c r="AK66" i="2"/>
  <c r="AI50" i="2"/>
  <c r="AK50" i="2"/>
  <c r="AI30" i="2"/>
  <c r="AK30" i="2"/>
  <c r="T30" i="2" s="1"/>
  <c r="AI235" i="2"/>
  <c r="AK235" i="2"/>
  <c r="T235" i="2" s="1"/>
  <c r="AI219" i="2"/>
  <c r="AK219" i="2"/>
  <c r="T219" i="2" s="1"/>
  <c r="AI203" i="2"/>
  <c r="AK203" i="2"/>
  <c r="T203" i="2" s="1"/>
  <c r="AI187" i="2"/>
  <c r="AK187" i="2"/>
  <c r="T187" i="2" s="1"/>
  <c r="AI171" i="2"/>
  <c r="AK171" i="2"/>
  <c r="T171" i="2" s="1"/>
  <c r="AI155" i="2"/>
  <c r="AK155" i="2"/>
  <c r="T155" i="2" s="1"/>
  <c r="AI138" i="2"/>
  <c r="AK138" i="2"/>
  <c r="AI122" i="2"/>
  <c r="AK122" i="2"/>
  <c r="T122" i="2" s="1"/>
  <c r="AI106" i="2"/>
  <c r="AK106" i="2"/>
  <c r="AI90" i="2"/>
  <c r="AK90" i="2"/>
  <c r="T90" i="2" s="1"/>
  <c r="AI73" i="2"/>
  <c r="AK73" i="2"/>
  <c r="T73" i="2" s="1"/>
  <c r="AI57" i="2"/>
  <c r="AK57" i="2"/>
  <c r="T57" i="2" s="1"/>
  <c r="AI41" i="2"/>
  <c r="AK41" i="2"/>
  <c r="T41" i="2" s="1"/>
  <c r="AI25" i="2"/>
  <c r="AK25" i="2"/>
  <c r="T25" i="2" s="1"/>
  <c r="AI141" i="2"/>
  <c r="AK141" i="2"/>
  <c r="T141" i="2" s="1"/>
  <c r="AI81" i="2"/>
  <c r="AK81" i="2"/>
  <c r="AI220" i="2"/>
  <c r="AK220" i="2"/>
  <c r="T220" i="2" s="1"/>
  <c r="AI188" i="2"/>
  <c r="AK188" i="2"/>
  <c r="AI234" i="2"/>
  <c r="AK234" i="2"/>
  <c r="T234" i="2" s="1"/>
  <c r="AI202" i="2"/>
  <c r="AK202" i="2"/>
  <c r="AI170" i="2"/>
  <c r="AK170" i="2"/>
  <c r="T170" i="2" s="1"/>
  <c r="AI224" i="2"/>
  <c r="AK224" i="2"/>
  <c r="T224" i="2" s="1"/>
  <c r="AI192" i="2"/>
  <c r="AK192" i="2"/>
  <c r="T192" i="2" s="1"/>
  <c r="AI206" i="2"/>
  <c r="AK206" i="2"/>
  <c r="AI174" i="2"/>
  <c r="AK174" i="2"/>
  <c r="T174" i="2" s="1"/>
  <c r="AI145" i="2"/>
  <c r="AK145" i="2"/>
  <c r="AI121" i="2"/>
  <c r="AK121" i="2"/>
  <c r="AI97" i="2"/>
  <c r="AK97" i="2"/>
  <c r="AI77" i="2"/>
  <c r="AK77" i="2"/>
  <c r="T77" i="2" s="1"/>
  <c r="AI60" i="2"/>
  <c r="AK60" i="2"/>
  <c r="AI44" i="2"/>
  <c r="AK44" i="2"/>
  <c r="T44" i="2" s="1"/>
  <c r="AI24" i="2"/>
  <c r="AK24" i="2"/>
  <c r="T24" i="2" s="1"/>
  <c r="AI233" i="2"/>
  <c r="AK233" i="2"/>
  <c r="AI217" i="2"/>
  <c r="AK217" i="2"/>
  <c r="AI201" i="2"/>
  <c r="AK201" i="2"/>
  <c r="T201" i="2" s="1"/>
  <c r="AI185" i="2"/>
  <c r="AK185" i="2"/>
  <c r="T185" i="2" s="1"/>
  <c r="AI169" i="2"/>
  <c r="AK169" i="2"/>
  <c r="AI153" i="2"/>
  <c r="AK153" i="2"/>
  <c r="AI136" i="2"/>
  <c r="AK136" i="2"/>
  <c r="T136" i="2" s="1"/>
  <c r="AI120" i="2"/>
  <c r="AK120" i="2"/>
  <c r="AI104" i="2"/>
  <c r="AK104" i="2"/>
  <c r="T104" i="2" s="1"/>
  <c r="AI88" i="2"/>
  <c r="AK88" i="2"/>
  <c r="AI71" i="2"/>
  <c r="AK71" i="2"/>
  <c r="AI55" i="2"/>
  <c r="AK55" i="2"/>
  <c r="T55" i="2" s="1"/>
  <c r="AI39" i="2"/>
  <c r="AK39" i="2"/>
  <c r="AI23" i="2"/>
  <c r="AK23" i="2"/>
  <c r="AI143" i="2"/>
  <c r="AK143" i="2"/>
  <c r="T143" i="2" s="1"/>
  <c r="AI87" i="2"/>
  <c r="AK87" i="2"/>
  <c r="AI147" i="2"/>
  <c r="AK147" i="2"/>
  <c r="AI123" i="2"/>
  <c r="AK123" i="2"/>
  <c r="AI99" i="2"/>
  <c r="AK99" i="2"/>
  <c r="AI79" i="2"/>
  <c r="AK79" i="2"/>
  <c r="T79" i="2" s="1"/>
  <c r="AI62" i="2"/>
  <c r="AK62" i="2"/>
  <c r="T62" i="2" s="1"/>
  <c r="AI42" i="2"/>
  <c r="AK42" i="2"/>
  <c r="AI26" i="2"/>
  <c r="AK26" i="2"/>
  <c r="AI231" i="2"/>
  <c r="AK231" i="2"/>
  <c r="AI215" i="2"/>
  <c r="AK215" i="2"/>
  <c r="T215" i="2" s="1"/>
  <c r="AI199" i="2"/>
  <c r="AK199" i="2"/>
  <c r="AI183" i="2"/>
  <c r="AK183" i="2"/>
  <c r="AI167" i="2"/>
  <c r="AK167" i="2"/>
  <c r="AI150" i="2"/>
  <c r="AK150" i="2"/>
  <c r="T150" i="2" s="1"/>
  <c r="AI134" i="2"/>
  <c r="AK134" i="2"/>
  <c r="AI118" i="2"/>
  <c r="AK118" i="2"/>
  <c r="AI102" i="2"/>
  <c r="AK102" i="2"/>
  <c r="AI86" i="2"/>
  <c r="AK86" i="2"/>
  <c r="T86" i="2" s="1"/>
  <c r="AI69" i="2"/>
  <c r="AK69" i="2"/>
  <c r="AI53" i="2"/>
  <c r="AK53" i="2"/>
  <c r="AI37" i="2"/>
  <c r="AK37" i="2"/>
  <c r="AI21" i="2"/>
  <c r="AK21" i="2"/>
  <c r="T21" i="2" s="1"/>
  <c r="AI133" i="2"/>
  <c r="AK133" i="2"/>
  <c r="T133" i="2" s="1"/>
  <c r="AI32" i="2"/>
  <c r="AK32" i="2"/>
  <c r="T32" i="2" s="1"/>
  <c r="AI212" i="2"/>
  <c r="AK212" i="2"/>
  <c r="AI180" i="2"/>
  <c r="AK180" i="2"/>
  <c r="T180" i="2" s="1"/>
  <c r="AI226" i="2"/>
  <c r="AK226" i="2"/>
  <c r="AI194" i="2"/>
  <c r="AK194" i="2"/>
  <c r="T194" i="2" s="1"/>
  <c r="AI162" i="2"/>
  <c r="AK162" i="2"/>
  <c r="AI216" i="2"/>
  <c r="AK216" i="2"/>
  <c r="T216" i="2" s="1"/>
  <c r="AI184" i="2"/>
  <c r="AK184" i="2"/>
  <c r="AI230" i="2"/>
  <c r="AK230" i="2"/>
  <c r="T230" i="2" s="1"/>
  <c r="AI198" i="2"/>
  <c r="AK198" i="2"/>
  <c r="T198" i="2" s="1"/>
  <c r="AI166" i="2"/>
  <c r="AK166" i="2"/>
  <c r="AI137" i="2"/>
  <c r="AK137" i="2"/>
  <c r="T137" i="2" s="1"/>
  <c r="AI113" i="2"/>
  <c r="AI93" i="2"/>
  <c r="AK93" i="2"/>
  <c r="T93" i="2" s="1"/>
  <c r="AI72" i="2"/>
  <c r="AK72" i="2"/>
  <c r="T72" i="2" s="1"/>
  <c r="AI56" i="2"/>
  <c r="AK56" i="2"/>
  <c r="AI40" i="2"/>
  <c r="AK40" i="2"/>
  <c r="T40" i="2" s="1"/>
  <c r="AI20" i="2"/>
  <c r="AK20" i="2"/>
  <c r="AI229" i="2"/>
  <c r="AK229" i="2"/>
  <c r="T229" i="2" s="1"/>
  <c r="AI213" i="2"/>
  <c r="AK213" i="2"/>
  <c r="AI197" i="2"/>
  <c r="AK197" i="2"/>
  <c r="AI181" i="2"/>
  <c r="AK181" i="2"/>
  <c r="T181" i="2" s="1"/>
  <c r="AI165" i="2"/>
  <c r="AK165" i="2"/>
  <c r="T165" i="2" s="1"/>
  <c r="AI148" i="2"/>
  <c r="AK148" i="2"/>
  <c r="AI132" i="2"/>
  <c r="AK132" i="2"/>
  <c r="AI116" i="2"/>
  <c r="AK116" i="2"/>
  <c r="AI100" i="2"/>
  <c r="AK100" i="2"/>
  <c r="T100" i="2" s="1"/>
  <c r="AI84" i="2"/>
  <c r="AK84" i="2"/>
  <c r="AI67" i="2"/>
  <c r="AK67" i="2"/>
  <c r="AI51" i="2"/>
  <c r="AK51" i="2"/>
  <c r="AI35" i="2"/>
  <c r="AK35" i="2"/>
  <c r="T35" i="2" s="1"/>
  <c r="AI19" i="2"/>
  <c r="AK19" i="2"/>
  <c r="AI131" i="2"/>
  <c r="AK131" i="2"/>
  <c r="AI46" i="2"/>
  <c r="AK46" i="2"/>
  <c r="T46" i="2" s="1"/>
  <c r="AI139" i="2"/>
  <c r="AK139" i="2"/>
  <c r="T139" i="2" s="1"/>
  <c r="AI115" i="2"/>
  <c r="T115" i="2"/>
  <c r="AI95" i="2"/>
  <c r="AK95" i="2"/>
  <c r="AI74" i="2"/>
  <c r="AK74" i="2"/>
  <c r="T74" i="2" s="1"/>
  <c r="AI58" i="2"/>
  <c r="AK58" i="2"/>
  <c r="T58" i="2" s="1"/>
  <c r="AI38" i="2"/>
  <c r="AK38" i="2"/>
  <c r="T38" i="2" s="1"/>
  <c r="AI22" i="2"/>
  <c r="AK22" i="2"/>
  <c r="AI227" i="2"/>
  <c r="AK227" i="2"/>
  <c r="AI211" i="2"/>
  <c r="AK211" i="2"/>
  <c r="T211" i="2" s="1"/>
  <c r="AI195" i="2"/>
  <c r="AK195" i="2"/>
  <c r="T195" i="2" s="1"/>
  <c r="AI179" i="2"/>
  <c r="AK179" i="2"/>
  <c r="T179" i="2" s="1"/>
  <c r="AI163" i="2"/>
  <c r="AK163" i="2"/>
  <c r="T163" i="2" s="1"/>
  <c r="AI146" i="2"/>
  <c r="AK146" i="2"/>
  <c r="AI130" i="2"/>
  <c r="AK130" i="2"/>
  <c r="AI114" i="2"/>
  <c r="AK114" i="2"/>
  <c r="AI98" i="2"/>
  <c r="AK98" i="2"/>
  <c r="T98" i="2" s="1"/>
  <c r="AI82" i="2"/>
  <c r="AK82" i="2"/>
  <c r="T82" i="2" s="1"/>
  <c r="AI65" i="2"/>
  <c r="AK65" i="2"/>
  <c r="T65" i="2" s="1"/>
  <c r="AI49" i="2"/>
  <c r="AK49" i="2"/>
  <c r="T49" i="2" s="1"/>
  <c r="AI33" i="2"/>
  <c r="AK33" i="2"/>
  <c r="T33" i="2" s="1"/>
  <c r="AI17" i="2"/>
  <c r="AK17" i="2"/>
  <c r="AI117" i="2"/>
  <c r="AK117" i="2"/>
  <c r="T117" i="2" s="1"/>
  <c r="AG238" i="2"/>
  <c r="AI14" i="2"/>
  <c r="AA38" i="1"/>
  <c r="Z36" i="1"/>
  <c r="Z97" i="1"/>
  <c r="Z175" i="1"/>
  <c r="Z54" i="1"/>
  <c r="AA163" i="1"/>
  <c r="Z165" i="1"/>
  <c r="AH24" i="2"/>
  <c r="AA182" i="1"/>
  <c r="AA57" i="1"/>
  <c r="AA206" i="1"/>
  <c r="AA112" i="1"/>
  <c r="AA208" i="1"/>
  <c r="AA20" i="1"/>
  <c r="AA69" i="1"/>
  <c r="AA52" i="1"/>
  <c r="AA197" i="1"/>
  <c r="AA18" i="1"/>
  <c r="AA53" i="1"/>
  <c r="AA64" i="1"/>
  <c r="Z114" i="1"/>
  <c r="AA90" i="1"/>
  <c r="AA141" i="1"/>
  <c r="Z170" i="1"/>
  <c r="AA205" i="1"/>
  <c r="AA23" i="1"/>
  <c r="AA143" i="1"/>
  <c r="AA174" i="1"/>
  <c r="AC156" i="2"/>
  <c r="AF156" i="2" s="1"/>
  <c r="Z75" i="1"/>
  <c r="Z158" i="1"/>
  <c r="Z129" i="1"/>
  <c r="Z94" i="1"/>
  <c r="AA212" i="1"/>
  <c r="AA160" i="1"/>
  <c r="AA128" i="1"/>
  <c r="Z132" i="1"/>
  <c r="AA131" i="1"/>
  <c r="AA135" i="1"/>
  <c r="AA47" i="1"/>
  <c r="AA191" i="1"/>
  <c r="AA25" i="1"/>
  <c r="Z176" i="1"/>
  <c r="AA222" i="1"/>
  <c r="AA216" i="1"/>
  <c r="AA196" i="1"/>
  <c r="Z48" i="1"/>
  <c r="Z140" i="1"/>
  <c r="AA153" i="1"/>
  <c r="Z213" i="1"/>
  <c r="AA95" i="1"/>
  <c r="AA152" i="1"/>
  <c r="AA32" i="1"/>
  <c r="AA60" i="1"/>
  <c r="AA62" i="1"/>
  <c r="AA147" i="1"/>
  <c r="Z82" i="1"/>
  <c r="AA37" i="1"/>
  <c r="AA98" i="1"/>
  <c r="AA50" i="1"/>
  <c r="AA116" i="1"/>
  <c r="AA214" i="1"/>
  <c r="AA178" i="1"/>
  <c r="AA211" i="1"/>
  <c r="AA115" i="1"/>
  <c r="Z194" i="1"/>
  <c r="AA151" i="1"/>
  <c r="AA155" i="1"/>
  <c r="AA66" i="1"/>
  <c r="Z183" i="1"/>
  <c r="Z209" i="1"/>
  <c r="AA19" i="1"/>
  <c r="AA49" i="1"/>
  <c r="AA68" i="1"/>
  <c r="Z40" i="1"/>
  <c r="AA40" i="1"/>
  <c r="AA180" i="1"/>
  <c r="Z180" i="1"/>
  <c r="AA93" i="1"/>
  <c r="Z93" i="1"/>
  <c r="AA91" i="1"/>
  <c r="Z91" i="1"/>
  <c r="Z166" i="1"/>
  <c r="AA166" i="1"/>
  <c r="Z219" i="1"/>
  <c r="AA219" i="1"/>
  <c r="Z72" i="1"/>
  <c r="AA72" i="1"/>
  <c r="AA218" i="1"/>
  <c r="Z218" i="1"/>
  <c r="AA108" i="1"/>
  <c r="Z108" i="1"/>
  <c r="AA46" i="1"/>
  <c r="Z46" i="1"/>
  <c r="AA148" i="1"/>
  <c r="Z148" i="1"/>
  <c r="AA45" i="1"/>
  <c r="Z45" i="1"/>
  <c r="AA78" i="1"/>
  <c r="Z78" i="1"/>
  <c r="Z198" i="1"/>
  <c r="AA198" i="1"/>
  <c r="AA31" i="1"/>
  <c r="Z31" i="1"/>
  <c r="AA184" i="1"/>
  <c r="Z184" i="1"/>
  <c r="AA200" i="1"/>
  <c r="Z200" i="1"/>
  <c r="AA42" i="1"/>
  <c r="Z42" i="1"/>
  <c r="AA190" i="1"/>
  <c r="Z190" i="1"/>
  <c r="AA101" i="1"/>
  <c r="Z101" i="1"/>
  <c r="AA202" i="1"/>
  <c r="Z202" i="1"/>
  <c r="Z27" i="1"/>
  <c r="AA27" i="1"/>
  <c r="AA185" i="1"/>
  <c r="Z185" i="1"/>
  <c r="AA192" i="1"/>
  <c r="Z192" i="1"/>
  <c r="AA106" i="1"/>
  <c r="Z106" i="1"/>
  <c r="AA157" i="1"/>
  <c r="Z157" i="1"/>
  <c r="AA109" i="1"/>
  <c r="Z109" i="1"/>
  <c r="Z118" i="1"/>
  <c r="AA118" i="1"/>
  <c r="Z73" i="1"/>
  <c r="AA73" i="1"/>
  <c r="AA171" i="1"/>
  <c r="Z171" i="1"/>
  <c r="AA26" i="1"/>
  <c r="Z26" i="1"/>
  <c r="AA61" i="1"/>
  <c r="Z61" i="1"/>
  <c r="AA146" i="1"/>
  <c r="Z146" i="1"/>
  <c r="AA203" i="1"/>
  <c r="Z203" i="1"/>
  <c r="AA138" i="1"/>
  <c r="Z138" i="1"/>
  <c r="Z124" i="1"/>
  <c r="AA124" i="1"/>
  <c r="AA167" i="1"/>
  <c r="Z139" i="1"/>
  <c r="Z43" i="1"/>
  <c r="AA177" i="1"/>
  <c r="Z71" i="1"/>
  <c r="Z33" i="1"/>
  <c r="AA80" i="1"/>
  <c r="AA119" i="1"/>
  <c r="AA126" i="1"/>
  <c r="AA120" i="1"/>
  <c r="Z58" i="1"/>
  <c r="Z181" i="1"/>
  <c r="Z63" i="1"/>
  <c r="AA169" i="1"/>
  <c r="AA136" i="1"/>
  <c r="Z81" i="1"/>
  <c r="AA223" i="1"/>
  <c r="AA87" i="1"/>
  <c r="AA221" i="1"/>
  <c r="AA154" i="1"/>
  <c r="Z154" i="1"/>
  <c r="Z195" i="1"/>
  <c r="AA195" i="1"/>
  <c r="Z117" i="1"/>
  <c r="AA117" i="1"/>
  <c r="AA89" i="1"/>
  <c r="Z89" i="1"/>
  <c r="AA133" i="1"/>
  <c r="Z133" i="1"/>
  <c r="AA179" i="1"/>
  <c r="Z179" i="1"/>
  <c r="AA199" i="1"/>
  <c r="Z199" i="1"/>
  <c r="AA100" i="1"/>
  <c r="Z100" i="1"/>
  <c r="AA188" i="1"/>
  <c r="Z188" i="1"/>
  <c r="AA41" i="1"/>
  <c r="Z41" i="1"/>
  <c r="Z220" i="1"/>
  <c r="AA220" i="1"/>
  <c r="AA193" i="1"/>
  <c r="Z193" i="1"/>
  <c r="Z56" i="1"/>
  <c r="AA56" i="1"/>
  <c r="AA207" i="1"/>
  <c r="Z207" i="1"/>
  <c r="AA83" i="1"/>
  <c r="Z83" i="1"/>
  <c r="AA145" i="1"/>
  <c r="Z145" i="1"/>
  <c r="AA103" i="1"/>
  <c r="Z103" i="1"/>
  <c r="AA173" i="1"/>
  <c r="Z173" i="1"/>
  <c r="AA55" i="1"/>
  <c r="Z55" i="1"/>
  <c r="AA35" i="1"/>
  <c r="Z35" i="1"/>
  <c r="AA156" i="1"/>
  <c r="Z156" i="1"/>
  <c r="Z142" i="1"/>
  <c r="AA142" i="1"/>
  <c r="Z59" i="1"/>
  <c r="AA59" i="1"/>
  <c r="Z34" i="1"/>
  <c r="AA34" i="1"/>
  <c r="AA107" i="1"/>
  <c r="Z107" i="1"/>
  <c r="Z149" i="1"/>
  <c r="AA149" i="1"/>
  <c r="AA125" i="1"/>
  <c r="Z125" i="1"/>
  <c r="AA77" i="1"/>
  <c r="Z77" i="1"/>
  <c r="AA168" i="1"/>
  <c r="Z168" i="1"/>
  <c r="AA159" i="1"/>
  <c r="Z159" i="1"/>
  <c r="Z104" i="1"/>
  <c r="AA104" i="1"/>
  <c r="Z111" i="1"/>
  <c r="AA111" i="1"/>
  <c r="AA123" i="1"/>
  <c r="Z123" i="1"/>
  <c r="AA105" i="1"/>
  <c r="Z105" i="1"/>
  <c r="AA164" i="1"/>
  <c r="Z164" i="1"/>
  <c r="AA210" i="1"/>
  <c r="Z210" i="1"/>
  <c r="AA67" i="1"/>
  <c r="Z67" i="1"/>
  <c r="AA121" i="1"/>
  <c r="Z121" i="1"/>
  <c r="AA201" i="1"/>
  <c r="Z201" i="1"/>
  <c r="AA189" i="1"/>
  <c r="Z189" i="1"/>
  <c r="AA204" i="1"/>
  <c r="Z70" i="1"/>
  <c r="AA39" i="1"/>
  <c r="Z134" i="1"/>
  <c r="Z88" i="1"/>
  <c r="AA21" i="1"/>
  <c r="AA65" i="1"/>
  <c r="AA96" i="1"/>
  <c r="AA217" i="1"/>
  <c r="AA172" i="1"/>
  <c r="Z102" i="1"/>
  <c r="AA30" i="1"/>
  <c r="Z130" i="1"/>
  <c r="AA85" i="1"/>
  <c r="AA150" i="1"/>
  <c r="AA110" i="1"/>
  <c r="AA99" i="1"/>
  <c r="AA161" i="1"/>
  <c r="AA79" i="1"/>
  <c r="AA122" i="1"/>
  <c r="Z122" i="1"/>
  <c r="AA144" i="1"/>
  <c r="Z144" i="1"/>
  <c r="Z24" i="1"/>
  <c r="AA24" i="1"/>
  <c r="AA28" i="1"/>
  <c r="Z28" i="1"/>
  <c r="AA74" i="1"/>
  <c r="Z74" i="1"/>
  <c r="Z215" i="1"/>
  <c r="T19" i="2" l="1"/>
  <c r="T20" i="2"/>
  <c r="B6" i="5"/>
  <c r="T84" i="2"/>
  <c r="T166" i="2"/>
  <c r="T53" i="2"/>
  <c r="T118" i="2"/>
  <c r="T183" i="2"/>
  <c r="T26" i="2"/>
  <c r="T99" i="2"/>
  <c r="T147" i="2"/>
  <c r="T39" i="2"/>
  <c r="T71" i="2"/>
  <c r="T169" i="2"/>
  <c r="T233" i="2"/>
  <c r="T121" i="2"/>
  <c r="T106" i="2"/>
  <c r="T138" i="2"/>
  <c r="T50" i="2"/>
  <c r="T64" i="2"/>
  <c r="T149" i="2"/>
  <c r="T164" i="2"/>
  <c r="T45" i="2"/>
  <c r="T110" i="2"/>
  <c r="T175" i="2"/>
  <c r="T91" i="2"/>
  <c r="T208" i="2"/>
  <c r="Y225" i="1"/>
  <c r="T114" i="2"/>
  <c r="T22" i="2"/>
  <c r="T95" i="2"/>
  <c r="T131" i="2"/>
  <c r="T132" i="2"/>
  <c r="T197" i="2"/>
  <c r="T227" i="2"/>
  <c r="T51" i="2"/>
  <c r="T116" i="2"/>
  <c r="AJ76" i="2"/>
  <c r="T226" i="2"/>
  <c r="T37" i="2"/>
  <c r="T69" i="2"/>
  <c r="T102" i="2"/>
  <c r="T134" i="2"/>
  <c r="T167" i="2"/>
  <c r="T199" i="2"/>
  <c r="T231" i="2"/>
  <c r="T123" i="2"/>
  <c r="T88" i="2"/>
  <c r="T60" i="2"/>
  <c r="T145" i="2"/>
  <c r="T206" i="2"/>
  <c r="T202" i="2"/>
  <c r="T188" i="2"/>
  <c r="T66" i="2"/>
  <c r="T156" i="2"/>
  <c r="T151" i="2"/>
  <c r="T168" i="2"/>
  <c r="T70" i="2"/>
  <c r="T47" i="2"/>
  <c r="T190" i="2"/>
  <c r="T173" i="2"/>
  <c r="T107" i="2"/>
  <c r="T43" i="2"/>
  <c r="T75" i="2"/>
  <c r="T108" i="2"/>
  <c r="T112" i="2"/>
  <c r="T23" i="2"/>
  <c r="T81" i="2"/>
  <c r="T205" i="2"/>
  <c r="T196" i="2"/>
  <c r="T184" i="2"/>
  <c r="T162" i="2"/>
  <c r="T212" i="2"/>
  <c r="T42" i="2"/>
  <c r="T87" i="2"/>
  <c r="T120" i="2"/>
  <c r="T153" i="2"/>
  <c r="T217" i="2"/>
  <c r="T97" i="2"/>
  <c r="T140" i="2"/>
  <c r="T237" i="2"/>
  <c r="T210" i="2"/>
  <c r="T105" i="2"/>
  <c r="T29" i="2"/>
  <c r="T94" i="2"/>
  <c r="T159" i="2"/>
  <c r="T223" i="2"/>
  <c r="T80" i="2"/>
  <c r="T130" i="2"/>
  <c r="T148" i="2"/>
  <c r="T213" i="2"/>
  <c r="T56" i="2"/>
  <c r="T76" i="2"/>
  <c r="T103" i="2"/>
  <c r="T27" i="2"/>
  <c r="H7" i="5" s="1"/>
  <c r="T7" i="5" s="1"/>
  <c r="U7" i="5" s="1"/>
  <c r="T92" i="2"/>
  <c r="T28" i="2"/>
  <c r="T200" i="2"/>
  <c r="T154" i="2"/>
  <c r="T31" i="2"/>
  <c r="T96" i="2"/>
  <c r="T128" i="2"/>
  <c r="H15" i="5" s="1"/>
  <c r="T15" i="5" s="1"/>
  <c r="U15" i="5" s="1"/>
  <c r="T193" i="2"/>
  <c r="T222" i="2"/>
  <c r="T186" i="2"/>
  <c r="T172" i="2"/>
  <c r="H20" i="5" s="1"/>
  <c r="T20" i="5" s="1"/>
  <c r="U20" i="5" s="1"/>
  <c r="T17" i="2"/>
  <c r="H6" i="5" s="1"/>
  <c r="T146" i="2"/>
  <c r="T67" i="2"/>
  <c r="AC76" i="2"/>
  <c r="AF76" i="2" s="1"/>
  <c r="T144" i="2"/>
  <c r="T177" i="2"/>
  <c r="T228" i="2"/>
  <c r="T209" i="2"/>
  <c r="V76" i="2"/>
  <c r="X76" i="2" s="1"/>
  <c r="T221" i="2"/>
  <c r="W152" i="2"/>
  <c r="X152" i="2"/>
  <c r="AD152" i="2"/>
  <c r="Y152" i="2"/>
  <c r="AD76" i="2"/>
  <c r="Y76" i="2"/>
  <c r="W76" i="2"/>
  <c r="T157" i="2"/>
  <c r="H18" i="5" s="1"/>
  <c r="T18" i="5" s="1"/>
  <c r="U18" i="5" s="1"/>
  <c r="Z28" i="3"/>
  <c r="AH28" i="3" s="1"/>
  <c r="S37" i="3"/>
  <c r="Z27" i="3"/>
  <c r="AH27" i="3" s="1"/>
  <c r="U110" i="1"/>
  <c r="AG110" i="1" s="1"/>
  <c r="G7" i="5"/>
  <c r="G23" i="5"/>
  <c r="AB182" i="1"/>
  <c r="AC182" i="1" s="1"/>
  <c r="AB204" i="1"/>
  <c r="AC204" i="1" s="1"/>
  <c r="AB197" i="1"/>
  <c r="AC197" i="1" s="1"/>
  <c r="AB223" i="1"/>
  <c r="AB194" i="1"/>
  <c r="AC194" i="1" s="1"/>
  <c r="AB167" i="1"/>
  <c r="AC167" i="1" s="1"/>
  <c r="AB206" i="1"/>
  <c r="AC206" i="1" s="1"/>
  <c r="AB176" i="1"/>
  <c r="AC176" i="1" s="1"/>
  <c r="R157" i="2"/>
  <c r="AB180" i="1"/>
  <c r="AC180" i="1" s="1"/>
  <c r="AB207" i="1"/>
  <c r="G9" i="5"/>
  <c r="G10" i="5"/>
  <c r="G6" i="5"/>
  <c r="G13" i="5"/>
  <c r="G25" i="5"/>
  <c r="G19" i="5"/>
  <c r="G11" i="5"/>
  <c r="G15" i="5"/>
  <c r="G14" i="5"/>
  <c r="G17" i="5"/>
  <c r="G12" i="5"/>
  <c r="G22" i="5"/>
  <c r="AB178" i="1"/>
  <c r="AC178" i="1" s="1"/>
  <c r="G20" i="5"/>
  <c r="U111" i="1"/>
  <c r="AG111" i="1" s="1"/>
  <c r="R158" i="2"/>
  <c r="AD158" i="2" s="1"/>
  <c r="G26" i="5"/>
  <c r="G24" i="5"/>
  <c r="G21" i="5"/>
  <c r="G16" i="5"/>
  <c r="G8" i="5"/>
  <c r="U112" i="1"/>
  <c r="AG112" i="1" s="1"/>
  <c r="AC164" i="1"/>
  <c r="AB187" i="1"/>
  <c r="AC187" i="1" s="1"/>
  <c r="AB212" i="1"/>
  <c r="AC212" i="1" s="1"/>
  <c r="AB221" i="1"/>
  <c r="AB205" i="1"/>
  <c r="AB220" i="1"/>
  <c r="AB195" i="1"/>
  <c r="AC195" i="1" s="1"/>
  <c r="AB169" i="1"/>
  <c r="AD169" i="1" s="1"/>
  <c r="AB222" i="1"/>
  <c r="AB190" i="1"/>
  <c r="AC190" i="1" s="1"/>
  <c r="AB196" i="1"/>
  <c r="AB181" i="1"/>
  <c r="AC181" i="1" s="1"/>
  <c r="AB186" i="1"/>
  <c r="AB217" i="1"/>
  <c r="AC217" i="1" s="1"/>
  <c r="AB166" i="1"/>
  <c r="AB175" i="1"/>
  <c r="AB215" i="1"/>
  <c r="AC215" i="1" s="1"/>
  <c r="AG198" i="1"/>
  <c r="AB198" i="1"/>
  <c r="AC198" i="1" s="1"/>
  <c r="AB170" i="1"/>
  <c r="AC170" i="1" s="1"/>
  <c r="AB214" i="1"/>
  <c r="AC214" i="1" s="1"/>
  <c r="AB177" i="1"/>
  <c r="AC177" i="1" s="1"/>
  <c r="AB218" i="1"/>
  <c r="AC218" i="1" s="1"/>
  <c r="AB209" i="1"/>
  <c r="AC209" i="1" s="1"/>
  <c r="AG165" i="1"/>
  <c r="AB165" i="1"/>
  <c r="AB216" i="1"/>
  <c r="AB199" i="1"/>
  <c r="AC199" i="1" s="1"/>
  <c r="AB202" i="1"/>
  <c r="AC202" i="1" s="1"/>
  <c r="AG168" i="1"/>
  <c r="AB168" i="1"/>
  <c r="AB188" i="1"/>
  <c r="AC188" i="1" s="1"/>
  <c r="AB203" i="1"/>
  <c r="AC203" i="1" s="1"/>
  <c r="AB183" i="1"/>
  <c r="AB213" i="1"/>
  <c r="AC213" i="1" s="1"/>
  <c r="AB208" i="1"/>
  <c r="AC208" i="1" s="1"/>
  <c r="AG201" i="1"/>
  <c r="AB201" i="1"/>
  <c r="AC201" i="1" s="1"/>
  <c r="AB191" i="1"/>
  <c r="AC191" i="1" s="1"/>
  <c r="AG179" i="1"/>
  <c r="AB179" i="1"/>
  <c r="AC179" i="1" s="1"/>
  <c r="AG200" i="1"/>
  <c r="AB200" i="1"/>
  <c r="AC200" i="1" s="1"/>
  <c r="AG171" i="1"/>
  <c r="AB171" i="1"/>
  <c r="AC171" i="1" s="1"/>
  <c r="AG219" i="1"/>
  <c r="AB219" i="1"/>
  <c r="AC219" i="1" s="1"/>
  <c r="AB174" i="1"/>
  <c r="AB211" i="1"/>
  <c r="AC211" i="1" s="1"/>
  <c r="AG184" i="1"/>
  <c r="AB184" i="1"/>
  <c r="AC184" i="1" s="1"/>
  <c r="AG189" i="1"/>
  <c r="AB189" i="1"/>
  <c r="AC189" i="1" s="1"/>
  <c r="AG192" i="1"/>
  <c r="AB192" i="1"/>
  <c r="AC192" i="1" s="1"/>
  <c r="AG185" i="1"/>
  <c r="AB185" i="1"/>
  <c r="AC185" i="1" s="1"/>
  <c r="AG173" i="1"/>
  <c r="AB173" i="1"/>
  <c r="AC173" i="1" s="1"/>
  <c r="AG172" i="1"/>
  <c r="AB172" i="1"/>
  <c r="AC172" i="1" s="1"/>
  <c r="AG210" i="1"/>
  <c r="AB210" i="1"/>
  <c r="AC210" i="1" s="1"/>
  <c r="AG193" i="1"/>
  <c r="AB193" i="1"/>
  <c r="AC193" i="1" s="1"/>
  <c r="AB110" i="1"/>
  <c r="AD110" i="1" s="1"/>
  <c r="V224" i="2"/>
  <c r="X224" i="2" s="1"/>
  <c r="V80" i="2"/>
  <c r="X80" i="2" s="1"/>
  <c r="V86" i="2"/>
  <c r="V162" i="2"/>
  <c r="V114" i="2"/>
  <c r="X114" i="2" s="1"/>
  <c r="V164" i="2"/>
  <c r="V84" i="2"/>
  <c r="B12" i="5"/>
  <c r="C12" i="5" s="1"/>
  <c r="V213" i="2"/>
  <c r="V36" i="2"/>
  <c r="V38" i="2"/>
  <c r="X38" i="2" s="1"/>
  <c r="V168" i="2"/>
  <c r="X168" i="2" s="1"/>
  <c r="V24" i="2"/>
  <c r="X24" i="2" s="1"/>
  <c r="B7" i="5"/>
  <c r="C7" i="5" s="1"/>
  <c r="V217" i="2"/>
  <c r="W217" i="2" s="1"/>
  <c r="V105" i="2"/>
  <c r="V234" i="2"/>
  <c r="X234" i="2" s="1"/>
  <c r="V172" i="2"/>
  <c r="X172" i="2" s="1"/>
  <c r="V109" i="2"/>
  <c r="X109" i="2" s="1"/>
  <c r="V53" i="2"/>
  <c r="X53" i="2" s="1"/>
  <c r="V65" i="2"/>
  <c r="V43" i="2"/>
  <c r="X43" i="2" s="1"/>
  <c r="B9" i="5"/>
  <c r="C9" i="5" s="1"/>
  <c r="V126" i="2"/>
  <c r="X126" i="2" s="1"/>
  <c r="B15" i="5"/>
  <c r="C15" i="5" s="1"/>
  <c r="V171" i="2"/>
  <c r="V220" i="2"/>
  <c r="V158" i="2"/>
  <c r="V46" i="2"/>
  <c r="X46" i="2" s="1"/>
  <c r="V111" i="2"/>
  <c r="V176" i="2"/>
  <c r="X176" i="2" s="1"/>
  <c r="V17" i="2"/>
  <c r="W17" i="2" s="1"/>
  <c r="V31" i="2"/>
  <c r="X31" i="2" s="1"/>
  <c r="V96" i="2"/>
  <c r="X96" i="2" s="1"/>
  <c r="V161" i="2"/>
  <c r="W161" i="2" s="1"/>
  <c r="V225" i="2"/>
  <c r="W225" i="2" s="1"/>
  <c r="B26" i="5"/>
  <c r="C26" i="5" s="1"/>
  <c r="V122" i="2"/>
  <c r="X122" i="2" s="1"/>
  <c r="V48" i="2"/>
  <c r="X48" i="2" s="1"/>
  <c r="V113" i="2"/>
  <c r="V178" i="2"/>
  <c r="X178" i="2" s="1"/>
  <c r="V19" i="2"/>
  <c r="V159" i="2"/>
  <c r="X159" i="2" s="1"/>
  <c r="B19" i="5"/>
  <c r="C19" i="5" s="1"/>
  <c r="V50" i="2"/>
  <c r="V115" i="2"/>
  <c r="V180" i="2"/>
  <c r="V21" i="2"/>
  <c r="V35" i="2"/>
  <c r="X35" i="2" s="1"/>
  <c r="V100" i="2"/>
  <c r="W100" i="2" s="1"/>
  <c r="V165" i="2"/>
  <c r="X165" i="2" s="1"/>
  <c r="V229" i="2"/>
  <c r="W229" i="2" s="1"/>
  <c r="V134" i="2"/>
  <c r="X134" i="2" s="1"/>
  <c r="V52" i="2"/>
  <c r="V117" i="2"/>
  <c r="V54" i="2"/>
  <c r="X54" i="2" s="1"/>
  <c r="V119" i="2"/>
  <c r="V184" i="2"/>
  <c r="V25" i="2"/>
  <c r="X25" i="2" s="1"/>
  <c r="V39" i="2"/>
  <c r="X39" i="2" s="1"/>
  <c r="V104" i="2"/>
  <c r="X104" i="2" s="1"/>
  <c r="B13" i="5"/>
  <c r="C13" i="5" s="1"/>
  <c r="V169" i="2"/>
  <c r="X169" i="2" s="1"/>
  <c r="B20" i="5"/>
  <c r="C20" i="5" s="1"/>
  <c r="V233" i="2"/>
  <c r="V138" i="2"/>
  <c r="B16" i="5"/>
  <c r="C16" i="5" s="1"/>
  <c r="V56" i="2"/>
  <c r="V121" i="2"/>
  <c r="V186" i="2"/>
  <c r="V14" i="2"/>
  <c r="X14" i="2" s="1"/>
  <c r="V175" i="2"/>
  <c r="X175" i="2" s="1"/>
  <c r="V236" i="2"/>
  <c r="W236" i="2" s="1"/>
  <c r="V221" i="2"/>
  <c r="W221" i="2" s="1"/>
  <c r="V166" i="2"/>
  <c r="V130" i="2"/>
  <c r="X130" i="2" s="1"/>
  <c r="V174" i="2"/>
  <c r="W174" i="2" s="1"/>
  <c r="B21" i="5"/>
  <c r="C21" i="5" s="1"/>
  <c r="V150" i="2"/>
  <c r="X150" i="2" s="1"/>
  <c r="V123" i="2"/>
  <c r="X123" i="2" s="1"/>
  <c r="V108" i="2"/>
  <c r="X108" i="2" s="1"/>
  <c r="V74" i="2"/>
  <c r="X74" i="2" s="1"/>
  <c r="V59" i="2"/>
  <c r="X59" i="2" s="1"/>
  <c r="V203" i="2"/>
  <c r="W203" i="2" s="1"/>
  <c r="V214" i="2"/>
  <c r="W214" i="2" s="1"/>
  <c r="V20" i="2"/>
  <c r="X20" i="2" s="1"/>
  <c r="V195" i="2"/>
  <c r="W195" i="2" s="1"/>
  <c r="V69" i="2"/>
  <c r="V190" i="2"/>
  <c r="X190" i="2" s="1"/>
  <c r="V187" i="2"/>
  <c r="X187" i="2" s="1"/>
  <c r="B23" i="5"/>
  <c r="C23" i="5" s="1"/>
  <c r="V42" i="2"/>
  <c r="X42" i="2" s="1"/>
  <c r="V95" i="2"/>
  <c r="X95" i="2" s="1"/>
  <c r="V215" i="2"/>
  <c r="W215" i="2" s="1"/>
  <c r="V209" i="2"/>
  <c r="W209" i="2" s="1"/>
  <c r="V32" i="2"/>
  <c r="V226" i="2"/>
  <c r="W226" i="2" s="1"/>
  <c r="V99" i="2"/>
  <c r="V231" i="2"/>
  <c r="V148" i="2"/>
  <c r="V101" i="2"/>
  <c r="V103" i="2"/>
  <c r="V232" i="2"/>
  <c r="V88" i="2"/>
  <c r="X88" i="2" s="1"/>
  <c r="V106" i="2"/>
  <c r="X106" i="2" s="1"/>
  <c r="V40" i="2"/>
  <c r="V170" i="2"/>
  <c r="V142" i="2"/>
  <c r="X142" i="2" s="1"/>
  <c r="V157" i="2"/>
  <c r="X157" i="2" s="1"/>
  <c r="Y157" i="2"/>
  <c r="B18" i="5"/>
  <c r="C18" i="5" s="1"/>
  <c r="V125" i="2"/>
  <c r="X125" i="2" s="1"/>
  <c r="V58" i="2"/>
  <c r="X58" i="2" s="1"/>
  <c r="V155" i="2"/>
  <c r="X155" i="2" s="1"/>
  <c r="V33" i="2"/>
  <c r="X33" i="2" s="1"/>
  <c r="V182" i="2"/>
  <c r="V205" i="2"/>
  <c r="W205" i="2" s="1"/>
  <c r="V102" i="2"/>
  <c r="V62" i="2"/>
  <c r="W62" i="2" s="1"/>
  <c r="V127" i="2"/>
  <c r="X127" i="2" s="1"/>
  <c r="V192" i="2"/>
  <c r="X192" i="2" s="1"/>
  <c r="V73" i="2"/>
  <c r="W73" i="2" s="1"/>
  <c r="V47" i="2"/>
  <c r="X47" i="2" s="1"/>
  <c r="V112" i="2"/>
  <c r="B14" i="5"/>
  <c r="C14" i="5" s="1"/>
  <c r="V177" i="2"/>
  <c r="X177" i="2" s="1"/>
  <c r="V18" i="2"/>
  <c r="V167" i="2"/>
  <c r="X167" i="2" s="1"/>
  <c r="V64" i="2"/>
  <c r="V129" i="2"/>
  <c r="X129" i="2" s="1"/>
  <c r="V194" i="2"/>
  <c r="V45" i="2"/>
  <c r="X45" i="2" s="1"/>
  <c r="V199" i="2"/>
  <c r="V66" i="2"/>
  <c r="X66" i="2" s="1"/>
  <c r="V131" i="2"/>
  <c r="X131" i="2" s="1"/>
  <c r="V196" i="2"/>
  <c r="V98" i="2"/>
  <c r="V51" i="2"/>
  <c r="V116" i="2"/>
  <c r="V181" i="2"/>
  <c r="X181" i="2" s="1"/>
  <c r="B22" i="5"/>
  <c r="C22" i="5" s="1"/>
  <c r="V22" i="2"/>
  <c r="V179" i="2"/>
  <c r="X179" i="2" s="1"/>
  <c r="V68" i="2"/>
  <c r="V133" i="2"/>
  <c r="V70" i="2"/>
  <c r="X70" i="2" s="1"/>
  <c r="V135" i="2"/>
  <c r="X135" i="2" s="1"/>
  <c r="V200" i="2"/>
  <c r="W200" i="2" s="1"/>
  <c r="V110" i="2"/>
  <c r="X110" i="2" s="1"/>
  <c r="V55" i="2"/>
  <c r="V120" i="2"/>
  <c r="V185" i="2"/>
  <c r="V26" i="2"/>
  <c r="W26" i="2" s="1"/>
  <c r="V191" i="2"/>
  <c r="V72" i="2"/>
  <c r="V137" i="2"/>
  <c r="V202" i="2"/>
  <c r="V61" i="2"/>
  <c r="X61" i="2" s="1"/>
  <c r="B10" i="5"/>
  <c r="C10" i="5" s="1"/>
  <c r="V219" i="2"/>
  <c r="V27" i="2"/>
  <c r="V118" i="2"/>
  <c r="X118" i="2" s="1"/>
  <c r="V198" i="2"/>
  <c r="V207" i="2"/>
  <c r="V206" i="2"/>
  <c r="W206" i="2" s="1"/>
  <c r="V227" i="2"/>
  <c r="W227" i="2" s="1"/>
  <c r="V188" i="2"/>
  <c r="W188" i="2" s="1"/>
  <c r="V173" i="2"/>
  <c r="X173" i="2" s="1"/>
  <c r="V139" i="2"/>
  <c r="X139" i="2" s="1"/>
  <c r="V124" i="2"/>
  <c r="X124" i="2" s="1"/>
  <c r="V77" i="2"/>
  <c r="V23" i="2"/>
  <c r="X23" i="2" s="1"/>
  <c r="V91" i="2"/>
  <c r="X91" i="2" s="1"/>
  <c r="V75" i="2"/>
  <c r="X75" i="2" s="1"/>
  <c r="V28" i="2"/>
  <c r="X28" i="2" s="1"/>
  <c r="B8" i="5"/>
  <c r="C8" i="5" s="1"/>
  <c r="V222" i="2"/>
  <c r="W222" i="2" s="1"/>
  <c r="V160" i="2"/>
  <c r="X160" i="2" s="1"/>
  <c r="V144" i="2"/>
  <c r="X144" i="2" s="1"/>
  <c r="B17" i="5"/>
  <c r="C17" i="5" s="1"/>
  <c r="V97" i="2"/>
  <c r="X97" i="2" s="1"/>
  <c r="V34" i="2"/>
  <c r="V228" i="2"/>
  <c r="V94" i="2"/>
  <c r="V153" i="2"/>
  <c r="X153" i="2" s="1"/>
  <c r="V79" i="2"/>
  <c r="V143" i="2"/>
  <c r="X143" i="2" s="1"/>
  <c r="V208" i="2"/>
  <c r="V146" i="2"/>
  <c r="W146" i="2" s="1"/>
  <c r="V63" i="2"/>
  <c r="X63" i="2" s="1"/>
  <c r="V128" i="2"/>
  <c r="X128" i="2" s="1"/>
  <c r="V193" i="2"/>
  <c r="W193" i="2" s="1"/>
  <c r="V41" i="2"/>
  <c r="V211" i="2"/>
  <c r="X211" i="2" s="1"/>
  <c r="V81" i="2"/>
  <c r="V145" i="2"/>
  <c r="W145" i="2" s="1"/>
  <c r="V210" i="2"/>
  <c r="W210" i="2" s="1"/>
  <c r="B25" i="5"/>
  <c r="C25" i="5" s="1"/>
  <c r="V78" i="2"/>
  <c r="X78" i="2" s="1"/>
  <c r="V235" i="2"/>
  <c r="V83" i="2"/>
  <c r="V147" i="2"/>
  <c r="V212" i="2"/>
  <c r="V163" i="2"/>
  <c r="V67" i="2"/>
  <c r="V132" i="2"/>
  <c r="X132" i="2" s="1"/>
  <c r="V197" i="2"/>
  <c r="W197" i="2" s="1"/>
  <c r="V49" i="2"/>
  <c r="X49" i="2" s="1"/>
  <c r="V223" i="2"/>
  <c r="W223" i="2" s="1"/>
  <c r="V85" i="2"/>
  <c r="X85" i="2" s="1"/>
  <c r="V149" i="2"/>
  <c r="X149" i="2" s="1"/>
  <c r="V87" i="2"/>
  <c r="V151" i="2"/>
  <c r="W151" i="2" s="1"/>
  <c r="V216" i="2"/>
  <c r="X216" i="2" s="1"/>
  <c r="V183" i="2"/>
  <c r="X183" i="2" s="1"/>
  <c r="V71" i="2"/>
  <c r="X71" i="2" s="1"/>
  <c r="B11" i="5"/>
  <c r="C11" i="5" s="1"/>
  <c r="V136" i="2"/>
  <c r="X136" i="2" s="1"/>
  <c r="V201" i="2"/>
  <c r="W201" i="2" s="1"/>
  <c r="B24" i="5"/>
  <c r="C24" i="5" s="1"/>
  <c r="V57" i="2"/>
  <c r="X57" i="2" s="1"/>
  <c r="V16" i="2"/>
  <c r="V89" i="2"/>
  <c r="X89" i="2" s="1"/>
  <c r="V154" i="2"/>
  <c r="X154" i="2" s="1"/>
  <c r="V218" i="2"/>
  <c r="W218" i="2" s="1"/>
  <c r="V90" i="2"/>
  <c r="V107" i="2"/>
  <c r="V92" i="2"/>
  <c r="X92" i="2" s="1"/>
  <c r="V44" i="2"/>
  <c r="V230" i="2"/>
  <c r="V60" i="2"/>
  <c r="X60" i="2" s="1"/>
  <c r="V15" i="2"/>
  <c r="V30" i="2"/>
  <c r="X30" i="2" s="1"/>
  <c r="V37" i="2"/>
  <c r="AC237" i="2"/>
  <c r="AF237" i="2" s="1"/>
  <c r="V237" i="2"/>
  <c r="W237" i="2" s="1"/>
  <c r="V204" i="2"/>
  <c r="W204" i="2" s="1"/>
  <c r="V189" i="2"/>
  <c r="W189" i="2" s="1"/>
  <c r="V141" i="2"/>
  <c r="X141" i="2" s="1"/>
  <c r="V82" i="2"/>
  <c r="W82" i="2" s="1"/>
  <c r="V156" i="2"/>
  <c r="V140" i="2"/>
  <c r="X140" i="2" s="1"/>
  <c r="V93" i="2"/>
  <c r="X93" i="2" s="1"/>
  <c r="V29" i="2"/>
  <c r="X29" i="2" s="1"/>
  <c r="Z224" i="1"/>
  <c r="Z225" i="1" s="1"/>
  <c r="Z226" i="1" s="1"/>
  <c r="AA224" i="1"/>
  <c r="AA225" i="1" s="1"/>
  <c r="AA226" i="1" s="1"/>
  <c r="AM224" i="1"/>
  <c r="B6" i="4"/>
  <c r="B16" i="4" s="1"/>
  <c r="AJ24" i="2"/>
  <c r="AD194" i="1"/>
  <c r="AI238" i="2"/>
  <c r="AK238" i="2"/>
  <c r="AH176" i="2"/>
  <c r="AJ176" i="2" s="1"/>
  <c r="AH31" i="2"/>
  <c r="AJ31" i="2" s="1"/>
  <c r="AH161" i="2"/>
  <c r="AJ161" i="2" s="1"/>
  <c r="AH122" i="2"/>
  <c r="AJ122" i="2" s="1"/>
  <c r="AH113" i="2"/>
  <c r="AJ113" i="2" s="1"/>
  <c r="AH19" i="2"/>
  <c r="AJ19" i="2" s="1"/>
  <c r="AH115" i="2"/>
  <c r="AJ115" i="2" s="1"/>
  <c r="AH21" i="2"/>
  <c r="AJ21" i="2" s="1"/>
  <c r="AH229" i="2"/>
  <c r="AJ229" i="2" s="1"/>
  <c r="AH62" i="2"/>
  <c r="AJ62" i="2" s="1"/>
  <c r="AH127" i="2"/>
  <c r="AJ127" i="2" s="1"/>
  <c r="AH192" i="2"/>
  <c r="AJ192" i="2" s="1"/>
  <c r="AH73" i="2"/>
  <c r="AJ73" i="2" s="1"/>
  <c r="AH47" i="2"/>
  <c r="AJ47" i="2" s="1"/>
  <c r="AH112" i="2"/>
  <c r="AJ112" i="2" s="1"/>
  <c r="AH177" i="2"/>
  <c r="AJ177" i="2" s="1"/>
  <c r="AH18" i="2"/>
  <c r="AJ18" i="2" s="1"/>
  <c r="AH167" i="2"/>
  <c r="AJ167" i="2" s="1"/>
  <c r="AH64" i="2"/>
  <c r="AJ64" i="2" s="1"/>
  <c r="AH129" i="2"/>
  <c r="AJ129" i="2" s="1"/>
  <c r="AH194" i="2"/>
  <c r="AJ194" i="2" s="1"/>
  <c r="AH45" i="2"/>
  <c r="AJ45" i="2" s="1"/>
  <c r="AH199" i="2"/>
  <c r="AJ199" i="2" s="1"/>
  <c r="AH66" i="2"/>
  <c r="AJ66" i="2" s="1"/>
  <c r="AH131" i="2"/>
  <c r="AJ131" i="2" s="1"/>
  <c r="AH196" i="2"/>
  <c r="AJ196" i="2" s="1"/>
  <c r="AH98" i="2"/>
  <c r="AJ98" i="2" s="1"/>
  <c r="AH51" i="2"/>
  <c r="AJ51" i="2" s="1"/>
  <c r="AH116" i="2"/>
  <c r="AJ116" i="2" s="1"/>
  <c r="AH181" i="2"/>
  <c r="AJ181" i="2" s="1"/>
  <c r="AH22" i="2"/>
  <c r="AJ22" i="2" s="1"/>
  <c r="AH179" i="2"/>
  <c r="AJ179" i="2" s="1"/>
  <c r="AH68" i="2"/>
  <c r="AJ68" i="2" s="1"/>
  <c r="AH133" i="2"/>
  <c r="AJ133" i="2" s="1"/>
  <c r="AH70" i="2"/>
  <c r="AJ70" i="2" s="1"/>
  <c r="AH135" i="2"/>
  <c r="AJ135" i="2" s="1"/>
  <c r="AH200" i="2"/>
  <c r="AJ200" i="2" s="1"/>
  <c r="AH110" i="2"/>
  <c r="AJ110" i="2" s="1"/>
  <c r="AH55" i="2"/>
  <c r="AJ55" i="2" s="1"/>
  <c r="AH120" i="2"/>
  <c r="AJ120" i="2" s="1"/>
  <c r="AH185" i="2"/>
  <c r="AJ185" i="2" s="1"/>
  <c r="AH26" i="2"/>
  <c r="AJ26" i="2" s="1"/>
  <c r="AH191" i="2"/>
  <c r="AJ191" i="2" s="1"/>
  <c r="AH72" i="2"/>
  <c r="AJ72" i="2" s="1"/>
  <c r="AH137" i="2"/>
  <c r="AJ137" i="2" s="1"/>
  <c r="AH202" i="2"/>
  <c r="AJ202" i="2" s="1"/>
  <c r="AH61" i="2"/>
  <c r="AJ61" i="2" s="1"/>
  <c r="AH219" i="2"/>
  <c r="AJ219" i="2" s="1"/>
  <c r="AH27" i="2"/>
  <c r="AJ27" i="2" s="1"/>
  <c r="AH118" i="2"/>
  <c r="AJ118" i="2" s="1"/>
  <c r="AH198" i="2"/>
  <c r="AJ198" i="2" s="1"/>
  <c r="AH207" i="2"/>
  <c r="AJ207" i="2" s="1"/>
  <c r="AH206" i="2"/>
  <c r="AJ206" i="2" s="1"/>
  <c r="AH227" i="2"/>
  <c r="AJ227" i="2" s="1"/>
  <c r="AH188" i="2"/>
  <c r="AJ188" i="2" s="1"/>
  <c r="AH173" i="2"/>
  <c r="AJ173" i="2" s="1"/>
  <c r="AH139" i="2"/>
  <c r="AJ139" i="2" s="1"/>
  <c r="AH124" i="2"/>
  <c r="AJ124" i="2" s="1"/>
  <c r="AH77" i="2"/>
  <c r="AJ77" i="2" s="1"/>
  <c r="AH23" i="2"/>
  <c r="AJ23" i="2" s="1"/>
  <c r="AH91" i="2"/>
  <c r="AJ91" i="2" s="1"/>
  <c r="AH75" i="2"/>
  <c r="AJ75" i="2" s="1"/>
  <c r="AH28" i="2"/>
  <c r="AJ28" i="2" s="1"/>
  <c r="AH222" i="2"/>
  <c r="AJ222" i="2" s="1"/>
  <c r="AH111" i="2"/>
  <c r="AJ111" i="2" s="1"/>
  <c r="AH79" i="2"/>
  <c r="AJ79" i="2" s="1"/>
  <c r="AH143" i="2"/>
  <c r="AJ143" i="2" s="1"/>
  <c r="AH208" i="2"/>
  <c r="AJ208" i="2" s="1"/>
  <c r="AH146" i="2"/>
  <c r="AJ146" i="2" s="1"/>
  <c r="AH63" i="2"/>
  <c r="AJ63" i="2" s="1"/>
  <c r="AH128" i="2"/>
  <c r="AJ128" i="2" s="1"/>
  <c r="AH193" i="2"/>
  <c r="AJ193" i="2" s="1"/>
  <c r="AH41" i="2"/>
  <c r="AJ41" i="2" s="1"/>
  <c r="AH211" i="2"/>
  <c r="AJ211" i="2" s="1"/>
  <c r="AH81" i="2"/>
  <c r="AJ81" i="2" s="1"/>
  <c r="AH145" i="2"/>
  <c r="AJ145" i="2" s="1"/>
  <c r="AH210" i="2"/>
  <c r="AJ210" i="2" s="1"/>
  <c r="AH78" i="2"/>
  <c r="AJ78" i="2" s="1"/>
  <c r="AH235" i="2"/>
  <c r="AJ235" i="2" s="1"/>
  <c r="AH83" i="2"/>
  <c r="AJ83" i="2" s="1"/>
  <c r="AH147" i="2"/>
  <c r="AJ147" i="2" s="1"/>
  <c r="AH212" i="2"/>
  <c r="AJ212" i="2" s="1"/>
  <c r="AH163" i="2"/>
  <c r="AJ163" i="2" s="1"/>
  <c r="AH67" i="2"/>
  <c r="AJ67" i="2" s="1"/>
  <c r="AH132" i="2"/>
  <c r="AJ132" i="2" s="1"/>
  <c r="AH197" i="2"/>
  <c r="AJ197" i="2" s="1"/>
  <c r="AH49" i="2"/>
  <c r="AJ49" i="2" s="1"/>
  <c r="AH223" i="2"/>
  <c r="AJ223" i="2" s="1"/>
  <c r="AH85" i="2"/>
  <c r="AJ85" i="2" s="1"/>
  <c r="AH149" i="2"/>
  <c r="AJ149" i="2" s="1"/>
  <c r="AH87" i="2"/>
  <c r="AJ87" i="2" s="1"/>
  <c r="AH151" i="2"/>
  <c r="AJ151" i="2" s="1"/>
  <c r="AH216" i="2"/>
  <c r="AJ216" i="2" s="1"/>
  <c r="AH183" i="2"/>
  <c r="AJ183" i="2" s="1"/>
  <c r="AH71" i="2"/>
  <c r="AJ71" i="2" s="1"/>
  <c r="AH136" i="2"/>
  <c r="AJ136" i="2" s="1"/>
  <c r="AH201" i="2"/>
  <c r="AJ201" i="2" s="1"/>
  <c r="AH57" i="2"/>
  <c r="AJ57" i="2" s="1"/>
  <c r="AH16" i="2"/>
  <c r="AJ16" i="2" s="1"/>
  <c r="AH89" i="2"/>
  <c r="AJ89" i="2" s="1"/>
  <c r="AH154" i="2"/>
  <c r="AJ154" i="2" s="1"/>
  <c r="AH218" i="2"/>
  <c r="AJ218" i="2" s="1"/>
  <c r="AH90" i="2"/>
  <c r="AJ90" i="2" s="1"/>
  <c r="AH107" i="2"/>
  <c r="AJ107" i="2" s="1"/>
  <c r="AH92" i="2"/>
  <c r="AJ92" i="2" s="1"/>
  <c r="AH44" i="2"/>
  <c r="AJ44" i="2" s="1"/>
  <c r="AH230" i="2"/>
  <c r="AJ230" i="2" s="1"/>
  <c r="AH60" i="2"/>
  <c r="AJ60" i="2" s="1"/>
  <c r="AH15" i="2"/>
  <c r="AJ15" i="2" s="1"/>
  <c r="AH30" i="2"/>
  <c r="AJ30" i="2" s="1"/>
  <c r="AH37" i="2"/>
  <c r="AJ37" i="2" s="1"/>
  <c r="AH237" i="2"/>
  <c r="AJ237" i="2" s="1"/>
  <c r="AH204" i="2"/>
  <c r="AJ204" i="2" s="1"/>
  <c r="AH189" i="2"/>
  <c r="AJ189" i="2" s="1"/>
  <c r="AH141" i="2"/>
  <c r="AJ141" i="2" s="1"/>
  <c r="AH82" i="2"/>
  <c r="AJ82" i="2" s="1"/>
  <c r="AH156" i="2"/>
  <c r="AJ156" i="2" s="1"/>
  <c r="AH140" i="2"/>
  <c r="AJ140" i="2" s="1"/>
  <c r="AH93" i="2"/>
  <c r="AJ93" i="2" s="1"/>
  <c r="AH29" i="2"/>
  <c r="AJ29" i="2" s="1"/>
  <c r="AH46" i="2"/>
  <c r="AJ46" i="2" s="1"/>
  <c r="AH95" i="2"/>
  <c r="AJ95" i="2" s="1"/>
  <c r="AH160" i="2"/>
  <c r="AJ160" i="2" s="1"/>
  <c r="AH224" i="2"/>
  <c r="AJ224" i="2" s="1"/>
  <c r="AH215" i="2"/>
  <c r="AJ215" i="2" s="1"/>
  <c r="AH80" i="2"/>
  <c r="AJ80" i="2" s="1"/>
  <c r="AH144" i="2"/>
  <c r="AJ144" i="2" s="1"/>
  <c r="AH209" i="2"/>
  <c r="AJ209" i="2" s="1"/>
  <c r="AH86" i="2"/>
  <c r="AJ86" i="2" s="1"/>
  <c r="AH32" i="2"/>
  <c r="AJ32" i="2" s="1"/>
  <c r="AH97" i="2"/>
  <c r="AJ97" i="2" s="1"/>
  <c r="AH162" i="2"/>
  <c r="AJ162" i="2" s="1"/>
  <c r="AH226" i="2"/>
  <c r="AJ226" i="2" s="1"/>
  <c r="AH114" i="2"/>
  <c r="AJ114" i="2" s="1"/>
  <c r="AH34" i="2"/>
  <c r="AJ34" i="2" s="1"/>
  <c r="AH99" i="2"/>
  <c r="AJ99" i="2" s="1"/>
  <c r="AH164" i="2"/>
  <c r="AJ164" i="2" s="1"/>
  <c r="AH228" i="2"/>
  <c r="AJ228" i="2" s="1"/>
  <c r="AH231" i="2"/>
  <c r="AJ231" i="2" s="1"/>
  <c r="AH84" i="2"/>
  <c r="AJ84" i="2" s="1"/>
  <c r="AH148" i="2"/>
  <c r="AJ148" i="2" s="1"/>
  <c r="AH213" i="2"/>
  <c r="AJ213" i="2" s="1"/>
  <c r="AH94" i="2"/>
  <c r="AJ94" i="2" s="1"/>
  <c r="AH36" i="2"/>
  <c r="AJ36" i="2" s="1"/>
  <c r="AH101" i="2"/>
  <c r="AJ101" i="2" s="1"/>
  <c r="AH38" i="2"/>
  <c r="AJ38" i="2" s="1"/>
  <c r="AH103" i="2"/>
  <c r="AJ103" i="2" s="1"/>
  <c r="AH168" i="2"/>
  <c r="AJ168" i="2" s="1"/>
  <c r="AH232" i="2"/>
  <c r="AJ232" i="2" s="1"/>
  <c r="AC24" i="2"/>
  <c r="AF24" i="2" s="1"/>
  <c r="AH88" i="2"/>
  <c r="AJ88" i="2" s="1"/>
  <c r="AH153" i="2"/>
  <c r="AJ153" i="2" s="1"/>
  <c r="AH217" i="2"/>
  <c r="AJ217" i="2" s="1"/>
  <c r="AH106" i="2"/>
  <c r="AJ106" i="2" s="1"/>
  <c r="AH40" i="2"/>
  <c r="AJ40" i="2" s="1"/>
  <c r="AH105" i="2"/>
  <c r="AJ105" i="2" s="1"/>
  <c r="AH170" i="2"/>
  <c r="AJ170" i="2" s="1"/>
  <c r="AH234" i="2"/>
  <c r="AJ234" i="2" s="1"/>
  <c r="AH142" i="2"/>
  <c r="AJ142" i="2" s="1"/>
  <c r="AH172" i="2"/>
  <c r="AJ172" i="2" s="1"/>
  <c r="AH157" i="2"/>
  <c r="AJ157" i="2" s="1"/>
  <c r="AH109" i="2"/>
  <c r="AJ109" i="2" s="1"/>
  <c r="AH53" i="2"/>
  <c r="AJ53" i="2" s="1"/>
  <c r="AH125" i="2"/>
  <c r="AJ125" i="2" s="1"/>
  <c r="AH65" i="2"/>
  <c r="AJ65" i="2" s="1"/>
  <c r="AH58" i="2"/>
  <c r="AJ58" i="2" s="1"/>
  <c r="AH43" i="2"/>
  <c r="AJ43" i="2" s="1"/>
  <c r="AH155" i="2"/>
  <c r="AJ155" i="2" s="1"/>
  <c r="AH126" i="2"/>
  <c r="AJ126" i="2" s="1"/>
  <c r="AH33" i="2"/>
  <c r="AJ33" i="2" s="1"/>
  <c r="AH182" i="2"/>
  <c r="AJ182" i="2" s="1"/>
  <c r="AH171" i="2"/>
  <c r="AJ171" i="2" s="1"/>
  <c r="AH220" i="2"/>
  <c r="AJ220" i="2" s="1"/>
  <c r="AH205" i="2"/>
  <c r="AJ205" i="2" s="1"/>
  <c r="AH158" i="2"/>
  <c r="AJ158" i="2" s="1"/>
  <c r="AH102" i="2"/>
  <c r="AJ102" i="2" s="1"/>
  <c r="AH17" i="2"/>
  <c r="AJ17" i="2" s="1"/>
  <c r="AH96" i="2"/>
  <c r="AJ96" i="2" s="1"/>
  <c r="AH225" i="2"/>
  <c r="AJ225" i="2" s="1"/>
  <c r="AH48" i="2"/>
  <c r="AJ48" i="2" s="1"/>
  <c r="AH178" i="2"/>
  <c r="AJ178" i="2" s="1"/>
  <c r="AH159" i="2"/>
  <c r="AJ159" i="2" s="1"/>
  <c r="AH50" i="2"/>
  <c r="AJ50" i="2" s="1"/>
  <c r="AH180" i="2"/>
  <c r="AJ180" i="2" s="1"/>
  <c r="AH35" i="2"/>
  <c r="AJ35" i="2" s="1"/>
  <c r="AH100" i="2"/>
  <c r="AJ100" i="2" s="1"/>
  <c r="AH165" i="2"/>
  <c r="AJ165" i="2" s="1"/>
  <c r="AH134" i="2"/>
  <c r="AJ134" i="2" s="1"/>
  <c r="AH52" i="2"/>
  <c r="AJ52" i="2" s="1"/>
  <c r="AH117" i="2"/>
  <c r="AJ117" i="2" s="1"/>
  <c r="AH54" i="2"/>
  <c r="AJ54" i="2" s="1"/>
  <c r="AH119" i="2"/>
  <c r="AJ119" i="2" s="1"/>
  <c r="AH184" i="2"/>
  <c r="AJ184" i="2" s="1"/>
  <c r="AH25" i="2"/>
  <c r="AJ25" i="2" s="1"/>
  <c r="AH39" i="2"/>
  <c r="AJ39" i="2" s="1"/>
  <c r="AH104" i="2"/>
  <c r="AJ104" i="2" s="1"/>
  <c r="AH169" i="2"/>
  <c r="AJ169" i="2" s="1"/>
  <c r="AH233" i="2"/>
  <c r="AJ233" i="2" s="1"/>
  <c r="AH138" i="2"/>
  <c r="AJ138" i="2" s="1"/>
  <c r="AH56" i="2"/>
  <c r="AJ56" i="2" s="1"/>
  <c r="AH121" i="2"/>
  <c r="AJ121" i="2" s="1"/>
  <c r="AH186" i="2"/>
  <c r="AJ186" i="2" s="1"/>
  <c r="AH14" i="2"/>
  <c r="AJ14" i="2" s="1"/>
  <c r="AH175" i="2"/>
  <c r="AJ175" i="2" s="1"/>
  <c r="AH236" i="2"/>
  <c r="AJ236" i="2" s="1"/>
  <c r="AH221" i="2"/>
  <c r="AJ221" i="2" s="1"/>
  <c r="AH166" i="2"/>
  <c r="AJ166" i="2" s="1"/>
  <c r="AH130" i="2"/>
  <c r="AJ130" i="2" s="1"/>
  <c r="AH174" i="2"/>
  <c r="AJ174" i="2" s="1"/>
  <c r="AH150" i="2"/>
  <c r="AJ150" i="2" s="1"/>
  <c r="AH123" i="2"/>
  <c r="AJ123" i="2" s="1"/>
  <c r="AH108" i="2"/>
  <c r="AJ108" i="2" s="1"/>
  <c r="AH74" i="2"/>
  <c r="AJ74" i="2" s="1"/>
  <c r="AH59" i="2"/>
  <c r="AJ59" i="2" s="1"/>
  <c r="AH203" i="2"/>
  <c r="AJ203" i="2" s="1"/>
  <c r="AH214" i="2"/>
  <c r="AJ214" i="2" s="1"/>
  <c r="AH20" i="2"/>
  <c r="AJ20" i="2" s="1"/>
  <c r="AH195" i="2"/>
  <c r="AJ195" i="2" s="1"/>
  <c r="AH69" i="2"/>
  <c r="AJ69" i="2" s="1"/>
  <c r="AH190" i="2"/>
  <c r="AJ190" i="2" s="1"/>
  <c r="AH187" i="2"/>
  <c r="AJ187" i="2" s="1"/>
  <c r="AH42" i="2"/>
  <c r="AJ42" i="2" s="1"/>
  <c r="AC220" i="2"/>
  <c r="AF220" i="2" s="1"/>
  <c r="AC109" i="2"/>
  <c r="AF109" i="2" s="1"/>
  <c r="AC187" i="2"/>
  <c r="AF187" i="2" s="1"/>
  <c r="AC59" i="2"/>
  <c r="AF59" i="2" s="1"/>
  <c r="AC165" i="2"/>
  <c r="AF165" i="2" s="1"/>
  <c r="AC14" i="2"/>
  <c r="AF14" i="2" s="1"/>
  <c r="AC123" i="2"/>
  <c r="AF123" i="2" s="1"/>
  <c r="AC141" i="2"/>
  <c r="AF141" i="2" s="1"/>
  <c r="AC31" i="2"/>
  <c r="AF31" i="2" s="1"/>
  <c r="AC78" i="2"/>
  <c r="AF78" i="2" s="1"/>
  <c r="AC16" i="2"/>
  <c r="AF16" i="2" s="1"/>
  <c r="AC96" i="2"/>
  <c r="AF96" i="2" s="1"/>
  <c r="AC229" i="2"/>
  <c r="AF229" i="2" s="1"/>
  <c r="AC62" i="2"/>
  <c r="AF62" i="2" s="1"/>
  <c r="AC124" i="2"/>
  <c r="AF124" i="2" s="1"/>
  <c r="AC110" i="2"/>
  <c r="AF110" i="2" s="1"/>
  <c r="AC26" i="2"/>
  <c r="AF26" i="2" s="1"/>
  <c r="AC95" i="2"/>
  <c r="AF95" i="2" s="1"/>
  <c r="AC188" i="2"/>
  <c r="AF188" i="2" s="1"/>
  <c r="AC27" i="2"/>
  <c r="AF27" i="2" s="1"/>
  <c r="AC177" i="2"/>
  <c r="AF177" i="2" s="1"/>
  <c r="AC173" i="2"/>
  <c r="AF173" i="2" s="1"/>
  <c r="AC91" i="2"/>
  <c r="AF91" i="2" s="1"/>
  <c r="AC128" i="2"/>
  <c r="AF128" i="2" s="1"/>
  <c r="AC49" i="2"/>
  <c r="AF49" i="2" s="1"/>
  <c r="AC127" i="2"/>
  <c r="AF127" i="2" s="1"/>
  <c r="AC136" i="2"/>
  <c r="AF136" i="2" s="1"/>
  <c r="AC210" i="2"/>
  <c r="AF210" i="2" s="1"/>
  <c r="AC192" i="2"/>
  <c r="AF192" i="2" s="1"/>
  <c r="AC63" i="2"/>
  <c r="AF63" i="2" s="1"/>
  <c r="AC206" i="2"/>
  <c r="AF206" i="2" s="1"/>
  <c r="AC142" i="2"/>
  <c r="AF142" i="2" s="1"/>
  <c r="AC92" i="2"/>
  <c r="AF92" i="2" s="1"/>
  <c r="AC179" i="2"/>
  <c r="AF179" i="2" s="1"/>
  <c r="AC114" i="2"/>
  <c r="AF114" i="2" s="1"/>
  <c r="AC30" i="2"/>
  <c r="AF30" i="2" s="1"/>
  <c r="AC17" i="2"/>
  <c r="AF17" i="2" s="1"/>
  <c r="AC145" i="2"/>
  <c r="AF145" i="2" s="1"/>
  <c r="AC58" i="2"/>
  <c r="AF58" i="2" s="1"/>
  <c r="AC174" i="2"/>
  <c r="AF174" i="2" s="1"/>
  <c r="AC82" i="2"/>
  <c r="AF82" i="2" s="1"/>
  <c r="AC48" i="2"/>
  <c r="AF48" i="2" s="1"/>
  <c r="AC153" i="2"/>
  <c r="AF153" i="2" s="1"/>
  <c r="AC178" i="2"/>
  <c r="AF178" i="2" s="1"/>
  <c r="AC45" i="2"/>
  <c r="AF45" i="2" s="1"/>
  <c r="AI226" i="1"/>
  <c r="AC160" i="2"/>
  <c r="AF160" i="2" s="1"/>
  <c r="AC161" i="2"/>
  <c r="AF161" i="2" s="1"/>
  <c r="AC113" i="2"/>
  <c r="AF113" i="2" s="1"/>
  <c r="AC224" i="2"/>
  <c r="AF224" i="2" s="1"/>
  <c r="AC159" i="2"/>
  <c r="AF159" i="2" s="1"/>
  <c r="AC28" i="2"/>
  <c r="AF28" i="2" s="1"/>
  <c r="AC74" i="2"/>
  <c r="AF74" i="2" s="1"/>
  <c r="AC108" i="2"/>
  <c r="AF108" i="2" s="1"/>
  <c r="AC162" i="2"/>
  <c r="AF162" i="2" s="1"/>
  <c r="AC79" i="2"/>
  <c r="AF79" i="2" s="1"/>
  <c r="AC140" i="2"/>
  <c r="AF140" i="2" s="1"/>
  <c r="AC144" i="2"/>
  <c r="AF144" i="2" s="1"/>
  <c r="AC23" i="2"/>
  <c r="AF23" i="2" s="1"/>
  <c r="AC119" i="2"/>
  <c r="AF119" i="2" s="1"/>
  <c r="AC106" i="2"/>
  <c r="AF106" i="2" s="1"/>
  <c r="AC202" i="2"/>
  <c r="AF202" i="2" s="1"/>
  <c r="AC137" i="2"/>
  <c r="AF137" i="2" s="1"/>
  <c r="AC213" i="2"/>
  <c r="AF213" i="2" s="1"/>
  <c r="AC231" i="2"/>
  <c r="AF231" i="2" s="1"/>
  <c r="AC163" i="2"/>
  <c r="AF163" i="2" s="1"/>
  <c r="AC84" i="2"/>
  <c r="AF84" i="2" s="1"/>
  <c r="AC19" i="2"/>
  <c r="AF19" i="2" s="1"/>
  <c r="AC180" i="2"/>
  <c r="AF180" i="2" s="1"/>
  <c r="AC115" i="2"/>
  <c r="AF115" i="2" s="1"/>
  <c r="AC50" i="2"/>
  <c r="AF50" i="2" s="1"/>
  <c r="AC102" i="2"/>
  <c r="AF102" i="2" s="1"/>
  <c r="AC37" i="2"/>
  <c r="AF37" i="2" s="1"/>
  <c r="AC198" i="2"/>
  <c r="AF198" i="2" s="1"/>
  <c r="AC133" i="2"/>
  <c r="AF133" i="2" s="1"/>
  <c r="AC68" i="2"/>
  <c r="AF68" i="2" s="1"/>
  <c r="AC81" i="2"/>
  <c r="AF81" i="2" s="1"/>
  <c r="AC60" i="2"/>
  <c r="AF60" i="2" s="1"/>
  <c r="AC190" i="2"/>
  <c r="AF190" i="2" s="1"/>
  <c r="AC94" i="2"/>
  <c r="AF94" i="2" s="1"/>
  <c r="AC107" i="2"/>
  <c r="AF107" i="2" s="1"/>
  <c r="AC236" i="2"/>
  <c r="AF236" i="2" s="1"/>
  <c r="AC146" i="2"/>
  <c r="AF146" i="2" s="1"/>
  <c r="AC197" i="2"/>
  <c r="AF197" i="2" s="1"/>
  <c r="AC64" i="2"/>
  <c r="AF64" i="2" s="1"/>
  <c r="AC194" i="2"/>
  <c r="AF194" i="2" s="1"/>
  <c r="AC98" i="2"/>
  <c r="AF98" i="2" s="1"/>
  <c r="AC111" i="2"/>
  <c r="AF111" i="2" s="1"/>
  <c r="AC15" i="2"/>
  <c r="AF15" i="2" s="1"/>
  <c r="AC155" i="2"/>
  <c r="AF155" i="2" s="1"/>
  <c r="AC205" i="2"/>
  <c r="AF205" i="2" s="1"/>
  <c r="AC185" i="2"/>
  <c r="AF185" i="2" s="1"/>
  <c r="AC189" i="2"/>
  <c r="AF189" i="2" s="1"/>
  <c r="AC191" i="2"/>
  <c r="AF191" i="2" s="1"/>
  <c r="AC138" i="2"/>
  <c r="AF138" i="2" s="1"/>
  <c r="AC71" i="2"/>
  <c r="AF71" i="2" s="1"/>
  <c r="AC232" i="2"/>
  <c r="AF232" i="2" s="1"/>
  <c r="AC168" i="2"/>
  <c r="AF168" i="2" s="1"/>
  <c r="AC103" i="2"/>
  <c r="AF103" i="2" s="1"/>
  <c r="AC38" i="2"/>
  <c r="AF38" i="2" s="1"/>
  <c r="AC90" i="2"/>
  <c r="AF90" i="2" s="1"/>
  <c r="AC25" i="2"/>
  <c r="AF25" i="2" s="1"/>
  <c r="AC186" i="2"/>
  <c r="AF186" i="2" s="1"/>
  <c r="AC121" i="2"/>
  <c r="AF121" i="2" s="1"/>
  <c r="AC56" i="2"/>
  <c r="AF56" i="2" s="1"/>
  <c r="AC169" i="2"/>
  <c r="AF169" i="2" s="1"/>
  <c r="AC181" i="2"/>
  <c r="AF181" i="2" s="1"/>
  <c r="AC175" i="2"/>
  <c r="AF175" i="2" s="1"/>
  <c r="AC132" i="2"/>
  <c r="AF132" i="2" s="1"/>
  <c r="AC67" i="2"/>
  <c r="AF67" i="2" s="1"/>
  <c r="AC228" i="2"/>
  <c r="AF228" i="2" s="1"/>
  <c r="AC164" i="2"/>
  <c r="AF164" i="2" s="1"/>
  <c r="AC99" i="2"/>
  <c r="AF99" i="2" s="1"/>
  <c r="AC34" i="2"/>
  <c r="AF34" i="2" s="1"/>
  <c r="AC86" i="2"/>
  <c r="AF86" i="2" s="1"/>
  <c r="AC21" i="2"/>
  <c r="AF21" i="2" s="1"/>
  <c r="AC182" i="2"/>
  <c r="AF182" i="2" s="1"/>
  <c r="AC117" i="2"/>
  <c r="AF117" i="2" s="1"/>
  <c r="AC52" i="2"/>
  <c r="AF52" i="2" s="1"/>
  <c r="AC77" i="2"/>
  <c r="AF77" i="2" s="1"/>
  <c r="AC158" i="2"/>
  <c r="AF158" i="2" s="1"/>
  <c r="AC225" i="2"/>
  <c r="AF225" i="2" s="1"/>
  <c r="AC112" i="2"/>
  <c r="AF112" i="2" s="1"/>
  <c r="AC88" i="2"/>
  <c r="AF88" i="2" s="1"/>
  <c r="AC72" i="2"/>
  <c r="AF72" i="2" s="1"/>
  <c r="AC222" i="2"/>
  <c r="AF222" i="2" s="1"/>
  <c r="AC43" i="2"/>
  <c r="AF43" i="2" s="1"/>
  <c r="AC97" i="2"/>
  <c r="AF97" i="2" s="1"/>
  <c r="AC143" i="2"/>
  <c r="AF143" i="2" s="1"/>
  <c r="AC183" i="2"/>
  <c r="AF183" i="2" s="1"/>
  <c r="AC157" i="2"/>
  <c r="AF157" i="2" s="1"/>
  <c r="AC235" i="2"/>
  <c r="AF235" i="2" s="1"/>
  <c r="AC120" i="2"/>
  <c r="AF120" i="2" s="1"/>
  <c r="AC55" i="2"/>
  <c r="AF55" i="2" s="1"/>
  <c r="AC216" i="2"/>
  <c r="AF216" i="2" s="1"/>
  <c r="AC151" i="2"/>
  <c r="AF151" i="2" s="1"/>
  <c r="AC87" i="2"/>
  <c r="AF87" i="2" s="1"/>
  <c r="AC22" i="2"/>
  <c r="AF22" i="2" s="1"/>
  <c r="AC73" i="2"/>
  <c r="AF73" i="2" s="1"/>
  <c r="AC234" i="2"/>
  <c r="AF234" i="2" s="1"/>
  <c r="AC170" i="2"/>
  <c r="AF170" i="2" s="1"/>
  <c r="AC105" i="2"/>
  <c r="AF105" i="2" s="1"/>
  <c r="AC40" i="2"/>
  <c r="AF40" i="2" s="1"/>
  <c r="AC199" i="2"/>
  <c r="AF199" i="2" s="1"/>
  <c r="AC148" i="2"/>
  <c r="AF148" i="2" s="1"/>
  <c r="AC227" i="2"/>
  <c r="AF227" i="2" s="1"/>
  <c r="AC116" i="2"/>
  <c r="AF116" i="2" s="1"/>
  <c r="AC51" i="2"/>
  <c r="AF51" i="2" s="1"/>
  <c r="AC212" i="2"/>
  <c r="AF212" i="2" s="1"/>
  <c r="AC147" i="2"/>
  <c r="AF147" i="2" s="1"/>
  <c r="AC83" i="2"/>
  <c r="AF83" i="2" s="1"/>
  <c r="AC18" i="2"/>
  <c r="AF18" i="2" s="1"/>
  <c r="AC69" i="2"/>
  <c r="AF69" i="2" s="1"/>
  <c r="AC230" i="2"/>
  <c r="AF230" i="2" s="1"/>
  <c r="AC166" i="2"/>
  <c r="AF166" i="2" s="1"/>
  <c r="AC101" i="2"/>
  <c r="AF101" i="2" s="1"/>
  <c r="AC36" i="2"/>
  <c r="AF36" i="2" s="1"/>
  <c r="AC44" i="2"/>
  <c r="AF44" i="2" s="1"/>
  <c r="AC61" i="2"/>
  <c r="AF61" i="2" s="1"/>
  <c r="AC204" i="2"/>
  <c r="AF204" i="2" s="1"/>
  <c r="AC32" i="2"/>
  <c r="AF32" i="2" s="1"/>
  <c r="AC65" i="2"/>
  <c r="AF65" i="2" s="1"/>
  <c r="AC208" i="2"/>
  <c r="AF208" i="2" s="1"/>
  <c r="AC221" i="2"/>
  <c r="AF221" i="2" s="1"/>
  <c r="AC171" i="2"/>
  <c r="AF171" i="2" s="1"/>
  <c r="AC184" i="2"/>
  <c r="AF184" i="2" s="1"/>
  <c r="AC54" i="2"/>
  <c r="AF54" i="2" s="1"/>
  <c r="AC41" i="2"/>
  <c r="AF41" i="2" s="1"/>
  <c r="AC233" i="2"/>
  <c r="AF233" i="2" s="1"/>
  <c r="AC93" i="2"/>
  <c r="AF93" i="2" s="1"/>
  <c r="AC126" i="2"/>
  <c r="AF126" i="2" s="1"/>
  <c r="AC139" i="2"/>
  <c r="AF139" i="2" s="1"/>
  <c r="AC211" i="2"/>
  <c r="AF211" i="2" s="1"/>
  <c r="AC167" i="2"/>
  <c r="AF167" i="2" s="1"/>
  <c r="AC226" i="2"/>
  <c r="AF226" i="2" s="1"/>
  <c r="AC130" i="2"/>
  <c r="AF130" i="2" s="1"/>
  <c r="AC47" i="2"/>
  <c r="AF47" i="2" s="1"/>
  <c r="AC219" i="2"/>
  <c r="AF219" i="2" s="1"/>
  <c r="AC223" i="2"/>
  <c r="AF223" i="2" s="1"/>
  <c r="AC125" i="2"/>
  <c r="AF125" i="2" s="1"/>
  <c r="AC29" i="2"/>
  <c r="AF29" i="2" s="1"/>
  <c r="AC42" i="2"/>
  <c r="AF42" i="2" s="1"/>
  <c r="AC172" i="2"/>
  <c r="AF172" i="2" s="1"/>
  <c r="AC75" i="2"/>
  <c r="AF75" i="2" s="1"/>
  <c r="AC207" i="2"/>
  <c r="AF207" i="2" s="1"/>
  <c r="AC201" i="2"/>
  <c r="AF201" i="2" s="1"/>
  <c r="AC129" i="2"/>
  <c r="AF129" i="2" s="1"/>
  <c r="AC33" i="2"/>
  <c r="AF33" i="2" s="1"/>
  <c r="AC46" i="2"/>
  <c r="AF46" i="2" s="1"/>
  <c r="AC176" i="2"/>
  <c r="AF176" i="2" s="1"/>
  <c r="AC80" i="2"/>
  <c r="AF80" i="2" s="1"/>
  <c r="AC215" i="2"/>
  <c r="AF215" i="2" s="1"/>
  <c r="AC217" i="2"/>
  <c r="AF217" i="2" s="1"/>
  <c r="AC150" i="2"/>
  <c r="AF150" i="2" s="1"/>
  <c r="AC209" i="2"/>
  <c r="AF209" i="2" s="1"/>
  <c r="AC203" i="2"/>
  <c r="AF203" i="2" s="1"/>
  <c r="AC104" i="2"/>
  <c r="AF104" i="2" s="1"/>
  <c r="AC39" i="2"/>
  <c r="AF39" i="2" s="1"/>
  <c r="AC200" i="2"/>
  <c r="AF200" i="2" s="1"/>
  <c r="AC135" i="2"/>
  <c r="AF135" i="2" s="1"/>
  <c r="AC70" i="2"/>
  <c r="AF70" i="2" s="1"/>
  <c r="AC122" i="2"/>
  <c r="AF122" i="2" s="1"/>
  <c r="AC57" i="2"/>
  <c r="AF57" i="2" s="1"/>
  <c r="AC218" i="2"/>
  <c r="AF218" i="2" s="1"/>
  <c r="AC154" i="2"/>
  <c r="AF154" i="2" s="1"/>
  <c r="AC89" i="2"/>
  <c r="AF89" i="2" s="1"/>
  <c r="AC134" i="2"/>
  <c r="AF134" i="2" s="1"/>
  <c r="AC193" i="2"/>
  <c r="AF193" i="2" s="1"/>
  <c r="AC195" i="2"/>
  <c r="AF195" i="2" s="1"/>
  <c r="AC100" i="2"/>
  <c r="AF100" i="2" s="1"/>
  <c r="AC35" i="2"/>
  <c r="AF35" i="2" s="1"/>
  <c r="AC196" i="2"/>
  <c r="AF196" i="2" s="1"/>
  <c r="AC131" i="2"/>
  <c r="AF131" i="2" s="1"/>
  <c r="AC66" i="2"/>
  <c r="AF66" i="2" s="1"/>
  <c r="AC118" i="2"/>
  <c r="AF118" i="2" s="1"/>
  <c r="AC53" i="2"/>
  <c r="AF53" i="2" s="1"/>
  <c r="AC214" i="2"/>
  <c r="AF214" i="2" s="1"/>
  <c r="AC149" i="2"/>
  <c r="AF149" i="2" s="1"/>
  <c r="AC85" i="2"/>
  <c r="AF85" i="2" s="1"/>
  <c r="AC20" i="2"/>
  <c r="AF20" i="2" s="1"/>
  <c r="S238" i="2"/>
  <c r="AH238" i="2" s="1"/>
  <c r="AH240" i="2" s="1"/>
  <c r="T6" i="5" l="1"/>
  <c r="U6" i="5" s="1"/>
  <c r="H26" i="5"/>
  <c r="T26" i="5" s="1"/>
  <c r="U26" i="5" s="1"/>
  <c r="H27" i="5"/>
  <c r="U37" i="3"/>
  <c r="H10" i="5"/>
  <c r="H8" i="5"/>
  <c r="AD157" i="2"/>
  <c r="Z152" i="2"/>
  <c r="AA152" i="2"/>
  <c r="R152" i="2"/>
  <c r="AA76" i="2"/>
  <c r="Z76" i="2"/>
  <c r="R76" i="2"/>
  <c r="H28" i="5"/>
  <c r="U146" i="1"/>
  <c r="AB146" i="1" s="1"/>
  <c r="AD146" i="1" s="1"/>
  <c r="Z26" i="3"/>
  <c r="AH26" i="3" s="1"/>
  <c r="Z37" i="3"/>
  <c r="AD182" i="1"/>
  <c r="R195" i="2"/>
  <c r="Q24" i="3"/>
  <c r="U24" i="1"/>
  <c r="AG24" i="1" s="1"/>
  <c r="R192" i="2"/>
  <c r="AD192" i="2" s="1"/>
  <c r="U138" i="1"/>
  <c r="AG138" i="1" s="1"/>
  <c r="R198" i="2"/>
  <c r="AD198" i="2" s="1"/>
  <c r="R197" i="2"/>
  <c r="AD197" i="2" s="1"/>
  <c r="U143" i="1"/>
  <c r="AG143" i="1" s="1"/>
  <c r="R188" i="2"/>
  <c r="AD188" i="2" s="1"/>
  <c r="R196" i="2"/>
  <c r="AD196" i="2" s="1"/>
  <c r="U137" i="1"/>
  <c r="AG137" i="1" s="1"/>
  <c r="R194" i="2"/>
  <c r="AD194" i="2" s="1"/>
  <c r="AD186" i="1"/>
  <c r="AC186" i="1"/>
  <c r="AD222" i="1"/>
  <c r="AC222" i="1"/>
  <c r="AD205" i="1"/>
  <c r="AC205" i="1"/>
  <c r="AD174" i="1"/>
  <c r="AC174" i="1"/>
  <c r="AD175" i="1"/>
  <c r="AC175" i="1"/>
  <c r="AD221" i="1"/>
  <c r="AC221" i="1"/>
  <c r="AD223" i="1"/>
  <c r="AC223" i="1"/>
  <c r="AD183" i="1"/>
  <c r="AC183" i="1"/>
  <c r="AD220" i="1"/>
  <c r="AC220" i="1"/>
  <c r="AD216" i="1"/>
  <c r="AC216" i="1"/>
  <c r="AD196" i="1"/>
  <c r="AC196" i="1"/>
  <c r="AD207" i="1"/>
  <c r="AC207" i="1"/>
  <c r="U136" i="1"/>
  <c r="AG136" i="1" s="1"/>
  <c r="U144" i="1"/>
  <c r="AG144" i="1" s="1"/>
  <c r="R187" i="2"/>
  <c r="AD187" i="2" s="1"/>
  <c r="U142" i="1"/>
  <c r="AB142" i="1" s="1"/>
  <c r="AD142" i="1" s="1"/>
  <c r="AD187" i="1"/>
  <c r="AD167" i="1"/>
  <c r="U25" i="1"/>
  <c r="AG25" i="1" s="1"/>
  <c r="R27" i="2"/>
  <c r="AD27" i="2" s="1"/>
  <c r="R26" i="2"/>
  <c r="AD26" i="2" s="1"/>
  <c r="J15" i="5"/>
  <c r="AD180" i="1"/>
  <c r="R24" i="2"/>
  <c r="AD24" i="2" s="1"/>
  <c r="U23" i="1"/>
  <c r="AD204" i="1"/>
  <c r="R25" i="2"/>
  <c r="AD212" i="1"/>
  <c r="AD178" i="1"/>
  <c r="U141" i="1"/>
  <c r="AG141" i="1" s="1"/>
  <c r="R193" i="2"/>
  <c r="AD193" i="2" s="1"/>
  <c r="R199" i="2"/>
  <c r="U140" i="1"/>
  <c r="AG140" i="1" s="1"/>
  <c r="Q23" i="3"/>
  <c r="AD206" i="1"/>
  <c r="J26" i="5"/>
  <c r="AB138" i="1"/>
  <c r="AC138" i="1" s="1"/>
  <c r="AD197" i="1"/>
  <c r="AD217" i="1"/>
  <c r="AD211" i="1"/>
  <c r="R190" i="2"/>
  <c r="R189" i="2"/>
  <c r="U145" i="1"/>
  <c r="R200" i="2"/>
  <c r="R191" i="2"/>
  <c r="U139" i="1"/>
  <c r="AC169" i="1"/>
  <c r="AD191" i="1"/>
  <c r="AD209" i="1"/>
  <c r="AD213" i="1"/>
  <c r="AG146" i="1"/>
  <c r="Y192" i="2"/>
  <c r="Z192" i="2" s="1"/>
  <c r="AB111" i="1"/>
  <c r="AD111" i="1" s="1"/>
  <c r="AD181" i="1"/>
  <c r="AD176" i="1"/>
  <c r="AD195" i="1"/>
  <c r="R170" i="2"/>
  <c r="R172" i="2"/>
  <c r="R173" i="2"/>
  <c r="U122" i="1"/>
  <c r="R169" i="2"/>
  <c r="R171" i="2"/>
  <c r="R45" i="2"/>
  <c r="R56" i="2"/>
  <c r="R49" i="2"/>
  <c r="R60" i="2"/>
  <c r="R48" i="2"/>
  <c r="U37" i="1"/>
  <c r="R54" i="2"/>
  <c r="R43" i="2"/>
  <c r="U40" i="1"/>
  <c r="R46" i="2"/>
  <c r="R53" i="2"/>
  <c r="U35" i="1"/>
  <c r="U34" i="1"/>
  <c r="R57" i="2"/>
  <c r="R58" i="2"/>
  <c r="U33" i="1"/>
  <c r="R47" i="2"/>
  <c r="R50" i="2"/>
  <c r="U39" i="1"/>
  <c r="R52" i="2"/>
  <c r="U36" i="1"/>
  <c r="Q17" i="3"/>
  <c r="Z17" i="3" s="1"/>
  <c r="AH17" i="3" s="1"/>
  <c r="R59" i="2"/>
  <c r="Q16" i="3"/>
  <c r="R44" i="2"/>
  <c r="R51" i="2"/>
  <c r="U38" i="1"/>
  <c r="R55" i="2"/>
  <c r="AB112" i="1"/>
  <c r="R208" i="2"/>
  <c r="Q36" i="3"/>
  <c r="R206" i="2"/>
  <c r="R204" i="2"/>
  <c r="Q35" i="3"/>
  <c r="R202" i="2"/>
  <c r="U151" i="1"/>
  <c r="U147" i="1"/>
  <c r="R207" i="2"/>
  <c r="U150" i="1"/>
  <c r="R201" i="2"/>
  <c r="R209" i="2"/>
  <c r="U148" i="1"/>
  <c r="R203" i="2"/>
  <c r="U149" i="1"/>
  <c r="R205" i="2"/>
  <c r="Q34" i="3"/>
  <c r="R224" i="2"/>
  <c r="R211" i="2"/>
  <c r="U156" i="1"/>
  <c r="R217" i="2"/>
  <c r="U158" i="1"/>
  <c r="R219" i="2"/>
  <c r="Q25" i="3"/>
  <c r="R210" i="2"/>
  <c r="R212" i="2"/>
  <c r="R214" i="2"/>
  <c r="U154" i="1"/>
  <c r="R221" i="2"/>
  <c r="R222" i="2"/>
  <c r="U155" i="1"/>
  <c r="R213" i="2"/>
  <c r="R215" i="2"/>
  <c r="U152" i="1"/>
  <c r="U157" i="1"/>
  <c r="U159" i="1"/>
  <c r="R218" i="2"/>
  <c r="U153" i="1"/>
  <c r="R216" i="2"/>
  <c r="R223" i="2"/>
  <c r="R220" i="2"/>
  <c r="AD177" i="1"/>
  <c r="R156" i="2"/>
  <c r="R148" i="2"/>
  <c r="R154" i="2"/>
  <c r="U100" i="1"/>
  <c r="U99" i="1"/>
  <c r="R144" i="2"/>
  <c r="Q31" i="3"/>
  <c r="U107" i="1"/>
  <c r="R149" i="2"/>
  <c r="R147" i="2"/>
  <c r="R151" i="2"/>
  <c r="U104" i="1"/>
  <c r="U105" i="1"/>
  <c r="R145" i="2"/>
  <c r="U109" i="1"/>
  <c r="R155" i="2"/>
  <c r="U101" i="1"/>
  <c r="U103" i="1"/>
  <c r="R146" i="2"/>
  <c r="R150" i="2"/>
  <c r="U106" i="1"/>
  <c r="U108" i="1"/>
  <c r="U102" i="1"/>
  <c r="R153" i="2"/>
  <c r="AD195" i="2"/>
  <c r="Y195" i="2"/>
  <c r="Z195" i="2" s="1"/>
  <c r="R38" i="2"/>
  <c r="R42" i="2"/>
  <c r="R31" i="2"/>
  <c r="R33" i="2"/>
  <c r="U32" i="1"/>
  <c r="R39" i="2"/>
  <c r="R28" i="2"/>
  <c r="R34" i="2"/>
  <c r="R35" i="2"/>
  <c r="R32" i="2"/>
  <c r="R40" i="2"/>
  <c r="U26" i="1"/>
  <c r="U28" i="1"/>
  <c r="R41" i="2"/>
  <c r="U30" i="1"/>
  <c r="U29" i="1"/>
  <c r="R36" i="2"/>
  <c r="R29" i="2"/>
  <c r="U27" i="1"/>
  <c r="R37" i="2"/>
  <c r="R30" i="2"/>
  <c r="U31" i="1"/>
  <c r="R230" i="2"/>
  <c r="R235" i="2"/>
  <c r="R233" i="2"/>
  <c r="U162" i="1"/>
  <c r="U161" i="1"/>
  <c r="R231" i="2"/>
  <c r="R229" i="2"/>
  <c r="R232" i="2"/>
  <c r="R237" i="2"/>
  <c r="R225" i="2"/>
  <c r="U160" i="1"/>
  <c r="R228" i="2"/>
  <c r="R226" i="2"/>
  <c r="R236" i="2"/>
  <c r="U163" i="1"/>
  <c r="R234" i="2"/>
  <c r="R227" i="2"/>
  <c r="R114" i="2"/>
  <c r="R118" i="2"/>
  <c r="R122" i="2"/>
  <c r="U86" i="1"/>
  <c r="R116" i="2"/>
  <c r="U89" i="1"/>
  <c r="U87" i="1"/>
  <c r="R115" i="2"/>
  <c r="R119" i="2"/>
  <c r="R123" i="2"/>
  <c r="U79" i="1"/>
  <c r="U77" i="1"/>
  <c r="R117" i="2"/>
  <c r="U85" i="1"/>
  <c r="R120" i="2"/>
  <c r="R124" i="2"/>
  <c r="R113" i="2"/>
  <c r="U88" i="1"/>
  <c r="U83" i="1"/>
  <c r="U78" i="1"/>
  <c r="U82" i="1"/>
  <c r="R112" i="2"/>
  <c r="Q30" i="3"/>
  <c r="U80" i="1"/>
  <c r="R121" i="2"/>
  <c r="U81" i="1"/>
  <c r="R125" i="2"/>
  <c r="U84" i="1"/>
  <c r="Q20" i="3"/>
  <c r="R110" i="2"/>
  <c r="R107" i="2"/>
  <c r="U76" i="1"/>
  <c r="U75" i="1"/>
  <c r="R108" i="2"/>
  <c r="R109" i="2"/>
  <c r="R106" i="2"/>
  <c r="R111" i="2"/>
  <c r="U70" i="1"/>
  <c r="R105" i="2"/>
  <c r="U74" i="1"/>
  <c r="U69" i="1"/>
  <c r="U72" i="1"/>
  <c r="U71" i="1"/>
  <c r="U73" i="1"/>
  <c r="R104" i="2"/>
  <c r="Q21" i="3"/>
  <c r="R139" i="2"/>
  <c r="U94" i="1"/>
  <c r="R140" i="2"/>
  <c r="R141" i="2"/>
  <c r="U96" i="1"/>
  <c r="R142" i="2"/>
  <c r="R143" i="2"/>
  <c r="U97" i="1"/>
  <c r="U95" i="1"/>
  <c r="R138" i="2"/>
  <c r="U98" i="1"/>
  <c r="R182" i="2"/>
  <c r="R184" i="2"/>
  <c r="U133" i="1"/>
  <c r="U134" i="1"/>
  <c r="Q22" i="3"/>
  <c r="R181" i="2"/>
  <c r="R185" i="2"/>
  <c r="R186" i="2"/>
  <c r="U135" i="1"/>
  <c r="R183" i="2"/>
  <c r="R135" i="2"/>
  <c r="R133" i="2"/>
  <c r="R131" i="2"/>
  <c r="U93" i="1"/>
  <c r="R129" i="2"/>
  <c r="R127" i="2"/>
  <c r="R126" i="2"/>
  <c r="R134" i="2"/>
  <c r="R130" i="2"/>
  <c r="R128" i="2"/>
  <c r="U90" i="1"/>
  <c r="U92" i="1"/>
  <c r="R136" i="2"/>
  <c r="U91" i="1"/>
  <c r="R132" i="2"/>
  <c r="R137" i="2"/>
  <c r="Q18" i="3"/>
  <c r="R75" i="2"/>
  <c r="R81" i="2"/>
  <c r="U46" i="1"/>
  <c r="U60" i="1"/>
  <c r="U47" i="1"/>
  <c r="U49" i="1"/>
  <c r="R72" i="2"/>
  <c r="R77" i="2"/>
  <c r="R74" i="2"/>
  <c r="U55" i="1"/>
  <c r="U58" i="1"/>
  <c r="U61" i="1"/>
  <c r="R71" i="2"/>
  <c r="U50" i="1"/>
  <c r="R78" i="2"/>
  <c r="R79" i="2"/>
  <c r="U52" i="1"/>
  <c r="U56" i="1"/>
  <c r="R83" i="2"/>
  <c r="U48" i="1"/>
  <c r="U54" i="1"/>
  <c r="U62" i="1"/>
  <c r="R82" i="2"/>
  <c r="U57" i="1"/>
  <c r="U59" i="1"/>
  <c r="U53" i="1"/>
  <c r="R80" i="2"/>
  <c r="U51" i="1"/>
  <c r="R73" i="2"/>
  <c r="R21" i="2"/>
  <c r="R18" i="2"/>
  <c r="R22" i="2"/>
  <c r="R17" i="2"/>
  <c r="U19" i="1"/>
  <c r="U18" i="1"/>
  <c r="U22" i="1"/>
  <c r="U20" i="1"/>
  <c r="U21" i="1"/>
  <c r="R20" i="2"/>
  <c r="R14" i="2"/>
  <c r="R19" i="2"/>
  <c r="R15" i="2"/>
  <c r="R23" i="2"/>
  <c r="R16" i="2"/>
  <c r="J20" i="5"/>
  <c r="Y158" i="2"/>
  <c r="AA158" i="2" s="1"/>
  <c r="U128" i="1"/>
  <c r="U126" i="1"/>
  <c r="R174" i="2"/>
  <c r="U123" i="1"/>
  <c r="Q33" i="3"/>
  <c r="U129" i="1"/>
  <c r="U132" i="1"/>
  <c r="U130" i="1"/>
  <c r="AG130" i="1" s="1"/>
  <c r="R176" i="2"/>
  <c r="R175" i="2"/>
  <c r="U125" i="1"/>
  <c r="R177" i="2"/>
  <c r="U131" i="1"/>
  <c r="R178" i="2"/>
  <c r="U127" i="1"/>
  <c r="U124" i="1"/>
  <c r="R180" i="2"/>
  <c r="R179" i="2"/>
  <c r="R92" i="2"/>
  <c r="R95" i="2"/>
  <c r="R102" i="2"/>
  <c r="R90" i="2"/>
  <c r="U64" i="1"/>
  <c r="U67" i="1"/>
  <c r="U65" i="1"/>
  <c r="R85" i="2"/>
  <c r="R96" i="2"/>
  <c r="R99" i="2"/>
  <c r="R87" i="2"/>
  <c r="U63" i="1"/>
  <c r="U68" i="1"/>
  <c r="U66" i="1"/>
  <c r="R101" i="2"/>
  <c r="R100" i="2"/>
  <c r="R88" i="2"/>
  <c r="R98" i="2"/>
  <c r="R93" i="2"/>
  <c r="R91" i="2"/>
  <c r="R89" i="2"/>
  <c r="R103" i="2"/>
  <c r="R97" i="2"/>
  <c r="Q19" i="3"/>
  <c r="R86" i="2"/>
  <c r="R94" i="2"/>
  <c r="R84" i="2"/>
  <c r="R166" i="2"/>
  <c r="R159" i="2"/>
  <c r="U120" i="1"/>
  <c r="Q32" i="3"/>
  <c r="R160" i="2"/>
  <c r="R163" i="2"/>
  <c r="R168" i="2"/>
  <c r="R162" i="2"/>
  <c r="R167" i="2"/>
  <c r="R165" i="2"/>
  <c r="U121" i="1"/>
  <c r="U115" i="1"/>
  <c r="U119" i="1"/>
  <c r="U118" i="1"/>
  <c r="R161" i="2"/>
  <c r="U117" i="1"/>
  <c r="R164" i="2"/>
  <c r="U114" i="1"/>
  <c r="U116" i="1"/>
  <c r="U113" i="1"/>
  <c r="R67" i="2"/>
  <c r="R66" i="2"/>
  <c r="R61" i="2"/>
  <c r="U42" i="1"/>
  <c r="R68" i="2"/>
  <c r="U45" i="1"/>
  <c r="R63" i="2"/>
  <c r="U44" i="1"/>
  <c r="R62" i="2"/>
  <c r="R70" i="2"/>
  <c r="R65" i="2"/>
  <c r="R64" i="2"/>
  <c r="U41" i="1"/>
  <c r="R69" i="2"/>
  <c r="U43" i="1"/>
  <c r="AC110" i="1"/>
  <c r="AD214" i="1"/>
  <c r="AD190" i="1"/>
  <c r="AD166" i="1"/>
  <c r="AC166" i="1"/>
  <c r="AD170" i="1"/>
  <c r="AD215" i="1"/>
  <c r="AD198" i="1"/>
  <c r="AD218" i="1"/>
  <c r="AD165" i="1"/>
  <c r="AC165" i="1"/>
  <c r="AD202" i="1"/>
  <c r="AC168" i="1"/>
  <c r="AD168" i="1"/>
  <c r="AD199" i="1"/>
  <c r="AD188" i="1"/>
  <c r="AD208" i="1"/>
  <c r="AD203" i="1"/>
  <c r="AD201" i="1"/>
  <c r="AD172" i="1"/>
  <c r="AD185" i="1"/>
  <c r="AD189" i="1"/>
  <c r="AD193" i="1"/>
  <c r="AD219" i="1"/>
  <c r="AD200" i="1"/>
  <c r="AD179" i="1"/>
  <c r="AD210" i="1"/>
  <c r="AD173" i="1"/>
  <c r="AD192" i="1"/>
  <c r="AD184" i="1"/>
  <c r="AD171" i="1"/>
  <c r="F25" i="5"/>
  <c r="F14" i="5"/>
  <c r="Z157" i="2"/>
  <c r="AA157" i="2"/>
  <c r="F23" i="5"/>
  <c r="V238" i="2"/>
  <c r="V239" i="2" s="1"/>
  <c r="F20" i="5"/>
  <c r="F24" i="5"/>
  <c r="F8" i="5"/>
  <c r="F22" i="5"/>
  <c r="F21" i="5"/>
  <c r="F9" i="5"/>
  <c r="F12" i="5"/>
  <c r="F11" i="5"/>
  <c r="F10" i="5"/>
  <c r="C6" i="5"/>
  <c r="B29" i="5"/>
  <c r="F19" i="5"/>
  <c r="F15" i="5"/>
  <c r="F7" i="5"/>
  <c r="F17" i="5"/>
  <c r="F18" i="5"/>
  <c r="J18" i="5"/>
  <c r="F16" i="5"/>
  <c r="F13" i="5"/>
  <c r="F26" i="5"/>
  <c r="C6" i="4"/>
  <c r="E6" i="4" s="1"/>
  <c r="C16" i="4"/>
  <c r="W58" i="2"/>
  <c r="W108" i="2"/>
  <c r="W190" i="2"/>
  <c r="W153" i="2"/>
  <c r="W113" i="2"/>
  <c r="X113" i="2"/>
  <c r="W142" i="2"/>
  <c r="W49" i="2"/>
  <c r="W45" i="2"/>
  <c r="W91" i="2"/>
  <c r="W30" i="2"/>
  <c r="W48" i="2"/>
  <c r="X206" i="2"/>
  <c r="X174" i="2"/>
  <c r="W178" i="2"/>
  <c r="W128" i="2"/>
  <c r="W165" i="2"/>
  <c r="W159" i="2"/>
  <c r="W160" i="2"/>
  <c r="W224" i="2"/>
  <c r="X82" i="2"/>
  <c r="W124" i="2"/>
  <c r="X17" i="2"/>
  <c r="W92" i="2"/>
  <c r="X161" i="2"/>
  <c r="X237" i="2"/>
  <c r="W114" i="2"/>
  <c r="W141" i="2"/>
  <c r="W179" i="2"/>
  <c r="W192" i="2"/>
  <c r="W95" i="2"/>
  <c r="X145" i="2"/>
  <c r="W31" i="2"/>
  <c r="AJ238" i="2"/>
  <c r="W14" i="2"/>
  <c r="W59" i="2"/>
  <c r="X26" i="2"/>
  <c r="W78" i="2"/>
  <c r="X229" i="2"/>
  <c r="W183" i="2"/>
  <c r="X210" i="2"/>
  <c r="W136" i="2"/>
  <c r="W63" i="2"/>
  <c r="W173" i="2"/>
  <c r="W110" i="2"/>
  <c r="X215" i="2"/>
  <c r="W109" i="2"/>
  <c r="W187" i="2"/>
  <c r="W168" i="2"/>
  <c r="W54" i="2"/>
  <c r="W39" i="2"/>
  <c r="W177" i="2"/>
  <c r="W60" i="2"/>
  <c r="X197" i="2"/>
  <c r="X195" i="2"/>
  <c r="W123" i="2"/>
  <c r="W155" i="2"/>
  <c r="W42" i="2"/>
  <c r="X225" i="2"/>
  <c r="X27" i="2"/>
  <c r="W27" i="2"/>
  <c r="W96" i="2"/>
  <c r="W53" i="2"/>
  <c r="X188" i="2"/>
  <c r="X62" i="2"/>
  <c r="W150" i="2"/>
  <c r="W74" i="2"/>
  <c r="W143" i="2"/>
  <c r="W127" i="2"/>
  <c r="W156" i="2"/>
  <c r="X156" i="2"/>
  <c r="W216" i="2"/>
  <c r="W122" i="2"/>
  <c r="W75" i="2"/>
  <c r="W80" i="2"/>
  <c r="W149" i="2"/>
  <c r="X220" i="2"/>
  <c r="W220" i="2"/>
  <c r="W16" i="2"/>
  <c r="X16" i="2"/>
  <c r="X227" i="2"/>
  <c r="W57" i="2"/>
  <c r="W28" i="2"/>
  <c r="W25" i="2"/>
  <c r="W169" i="2"/>
  <c r="W176" i="2"/>
  <c r="W85" i="2"/>
  <c r="W134" i="2"/>
  <c r="X203" i="2"/>
  <c r="W88" i="2"/>
  <c r="W144" i="2"/>
  <c r="W97" i="2"/>
  <c r="X200" i="2"/>
  <c r="W175" i="2"/>
  <c r="W71" i="2"/>
  <c r="X236" i="2"/>
  <c r="W89" i="2"/>
  <c r="X193" i="2"/>
  <c r="X100" i="2"/>
  <c r="X222" i="2"/>
  <c r="W211" i="2"/>
  <c r="W139" i="2"/>
  <c r="X214" i="2"/>
  <c r="W33" i="2"/>
  <c r="W93" i="2"/>
  <c r="W234" i="2"/>
  <c r="X218" i="2"/>
  <c r="W35" i="2"/>
  <c r="W135" i="2"/>
  <c r="X201" i="2"/>
  <c r="W38" i="2"/>
  <c r="W125" i="2"/>
  <c r="W118" i="2"/>
  <c r="W131" i="2"/>
  <c r="X204" i="2"/>
  <c r="W167" i="2"/>
  <c r="X221" i="2"/>
  <c r="X151" i="2"/>
  <c r="W130" i="2"/>
  <c r="W29" i="2"/>
  <c r="X146" i="2"/>
  <c r="X217" i="2"/>
  <c r="W20" i="2"/>
  <c r="W106" i="2"/>
  <c r="X223" i="2"/>
  <c r="W157" i="2"/>
  <c r="X189" i="2"/>
  <c r="W47" i="2"/>
  <c r="X209" i="2"/>
  <c r="W43" i="2"/>
  <c r="W132" i="2"/>
  <c r="W24" i="2"/>
  <c r="W46" i="2"/>
  <c r="W154" i="2"/>
  <c r="X73" i="2"/>
  <c r="W140" i="2"/>
  <c r="W172" i="2"/>
  <c r="W104" i="2"/>
  <c r="W70" i="2"/>
  <c r="W126" i="2"/>
  <c r="X205" i="2"/>
  <c r="W181" i="2"/>
  <c r="W129" i="2"/>
  <c r="W66" i="2"/>
  <c r="W23" i="2"/>
  <c r="X226" i="2"/>
  <c r="W61" i="2"/>
  <c r="W196" i="2"/>
  <c r="X196" i="2"/>
  <c r="W207" i="2"/>
  <c r="X207" i="2"/>
  <c r="X233" i="2"/>
  <c r="W233" i="2"/>
  <c r="X171" i="2"/>
  <c r="W171" i="2"/>
  <c r="W208" i="2"/>
  <c r="X208" i="2"/>
  <c r="X32" i="2"/>
  <c r="W32" i="2"/>
  <c r="W36" i="2"/>
  <c r="X36" i="2"/>
  <c r="X166" i="2"/>
  <c r="W166" i="2"/>
  <c r="W69" i="2"/>
  <c r="X69" i="2"/>
  <c r="W83" i="2"/>
  <c r="X83" i="2"/>
  <c r="W212" i="2"/>
  <c r="X212" i="2"/>
  <c r="W116" i="2"/>
  <c r="X116" i="2"/>
  <c r="W148" i="2"/>
  <c r="X148" i="2"/>
  <c r="X40" i="2"/>
  <c r="W40" i="2"/>
  <c r="X170" i="2"/>
  <c r="W170" i="2"/>
  <c r="X87" i="2"/>
  <c r="W87" i="2"/>
  <c r="X120" i="2"/>
  <c r="W120" i="2"/>
  <c r="X72" i="2"/>
  <c r="W72" i="2"/>
  <c r="X112" i="2"/>
  <c r="W112" i="2"/>
  <c r="W158" i="2"/>
  <c r="X158" i="2"/>
  <c r="X52" i="2"/>
  <c r="W52" i="2"/>
  <c r="X182" i="2"/>
  <c r="W182" i="2"/>
  <c r="X86" i="2"/>
  <c r="W86" i="2"/>
  <c r="X99" i="2"/>
  <c r="W99" i="2"/>
  <c r="X228" i="2"/>
  <c r="W228" i="2"/>
  <c r="W56" i="2"/>
  <c r="X56" i="2"/>
  <c r="W186" i="2"/>
  <c r="X186" i="2"/>
  <c r="W90" i="2"/>
  <c r="X90" i="2"/>
  <c r="W103" i="2"/>
  <c r="X103" i="2"/>
  <c r="X232" i="2"/>
  <c r="W232" i="2"/>
  <c r="X138" i="2"/>
  <c r="W138" i="2"/>
  <c r="W15" i="2"/>
  <c r="X15" i="2"/>
  <c r="X98" i="2"/>
  <c r="W98" i="2"/>
  <c r="W64" i="2"/>
  <c r="X64" i="2"/>
  <c r="X107" i="2"/>
  <c r="W107" i="2"/>
  <c r="X81" i="2"/>
  <c r="W81" i="2"/>
  <c r="X133" i="2"/>
  <c r="W133" i="2"/>
  <c r="X37" i="2"/>
  <c r="W37" i="2"/>
  <c r="X50" i="2"/>
  <c r="W50" i="2"/>
  <c r="X180" i="2"/>
  <c r="W180" i="2"/>
  <c r="X84" i="2"/>
  <c r="W84" i="2"/>
  <c r="W231" i="2"/>
  <c r="X231" i="2"/>
  <c r="X137" i="2"/>
  <c r="W137" i="2"/>
  <c r="X162" i="2"/>
  <c r="W162" i="2"/>
  <c r="S239" i="2"/>
  <c r="AC238" i="2"/>
  <c r="AF238" i="2" s="1"/>
  <c r="W219" i="2"/>
  <c r="X219" i="2"/>
  <c r="W41" i="2"/>
  <c r="X41" i="2"/>
  <c r="W184" i="2"/>
  <c r="X184" i="2"/>
  <c r="X65" i="2"/>
  <c r="W65" i="2"/>
  <c r="X44" i="2"/>
  <c r="W44" i="2"/>
  <c r="X101" i="2"/>
  <c r="W101" i="2"/>
  <c r="W230" i="2"/>
  <c r="X230" i="2"/>
  <c r="X18" i="2"/>
  <c r="W18" i="2"/>
  <c r="X147" i="2"/>
  <c r="W147" i="2"/>
  <c r="W51" i="2"/>
  <c r="X51" i="2"/>
  <c r="X199" i="2"/>
  <c r="W199" i="2"/>
  <c r="W105" i="2"/>
  <c r="X105" i="2"/>
  <c r="X22" i="2"/>
  <c r="W22" i="2"/>
  <c r="X55" i="2"/>
  <c r="W55" i="2"/>
  <c r="W235" i="2"/>
  <c r="X235" i="2"/>
  <c r="W77" i="2"/>
  <c r="X77" i="2"/>
  <c r="W117" i="2"/>
  <c r="X117" i="2"/>
  <c r="X21" i="2"/>
  <c r="W21" i="2"/>
  <c r="X34" i="2"/>
  <c r="W34" i="2"/>
  <c r="W164" i="2"/>
  <c r="X164" i="2"/>
  <c r="W67" i="2"/>
  <c r="X67" i="2"/>
  <c r="W121" i="2"/>
  <c r="X121" i="2"/>
  <c r="W191" i="2"/>
  <c r="X191" i="2"/>
  <c r="W185" i="2"/>
  <c r="X185" i="2"/>
  <c r="X111" i="2"/>
  <c r="W111" i="2"/>
  <c r="W194" i="2"/>
  <c r="X194" i="2"/>
  <c r="X94" i="2"/>
  <c r="W94" i="2"/>
  <c r="X68" i="2"/>
  <c r="W68" i="2"/>
  <c r="X198" i="2"/>
  <c r="W198" i="2"/>
  <c r="W102" i="2"/>
  <c r="X102" i="2"/>
  <c r="X115" i="2"/>
  <c r="W115" i="2"/>
  <c r="X19" i="2"/>
  <c r="W19" i="2"/>
  <c r="X163" i="2"/>
  <c r="W163" i="2"/>
  <c r="W213" i="2"/>
  <c r="X213" i="2"/>
  <c r="X202" i="2"/>
  <c r="W202" i="2"/>
  <c r="W119" i="2"/>
  <c r="X119" i="2"/>
  <c r="X79" i="2"/>
  <c r="W79" i="2"/>
  <c r="J10" i="5" l="1"/>
  <c r="T10" i="5"/>
  <c r="U10" i="5" s="1"/>
  <c r="J28" i="5"/>
  <c r="T28" i="5"/>
  <c r="U28" i="5" s="1"/>
  <c r="V37" i="3"/>
  <c r="W37" i="3"/>
  <c r="J8" i="5"/>
  <c r="T8" i="5"/>
  <c r="U8" i="5" s="1"/>
  <c r="J27" i="5"/>
  <c r="T27" i="5"/>
  <c r="U27" i="5" s="1"/>
  <c r="AC146" i="1"/>
  <c r="H22" i="5"/>
  <c r="H16" i="5"/>
  <c r="H25" i="5"/>
  <c r="H12" i="5"/>
  <c r="H13" i="5"/>
  <c r="Z24" i="3"/>
  <c r="AH24" i="3" s="1"/>
  <c r="S32" i="3"/>
  <c r="H11" i="5"/>
  <c r="S31" i="3"/>
  <c r="S36" i="3"/>
  <c r="H9" i="5"/>
  <c r="S33" i="3"/>
  <c r="S30" i="3"/>
  <c r="S34" i="3"/>
  <c r="S35" i="3"/>
  <c r="Z23" i="3"/>
  <c r="AH23" i="3" s="1"/>
  <c r="AB24" i="1"/>
  <c r="Y194" i="2"/>
  <c r="Z194" i="2" s="1"/>
  <c r="Y198" i="2"/>
  <c r="Z198" i="2" s="1"/>
  <c r="AB143" i="1"/>
  <c r="AD143" i="1" s="1"/>
  <c r="Y187" i="2"/>
  <c r="AA187" i="2" s="1"/>
  <c r="AB137" i="1"/>
  <c r="AC137" i="1" s="1"/>
  <c r="Y197" i="2"/>
  <c r="Z197" i="2" s="1"/>
  <c r="Y188" i="2"/>
  <c r="AA188" i="2" s="1"/>
  <c r="Y196" i="2"/>
  <c r="Z196" i="2" s="1"/>
  <c r="AB136" i="1"/>
  <c r="AC136" i="1" s="1"/>
  <c r="AG142" i="1"/>
  <c r="AB144" i="1"/>
  <c r="AC142" i="1"/>
  <c r="AD138" i="1"/>
  <c r="Y24" i="2"/>
  <c r="Z24" i="2" s="1"/>
  <c r="Y27" i="2"/>
  <c r="Z27" i="2" s="1"/>
  <c r="AB25" i="1"/>
  <c r="AC25" i="1" s="1"/>
  <c r="Y26" i="2"/>
  <c r="Z26" i="2" s="1"/>
  <c r="AG23" i="1"/>
  <c r="AB23" i="1"/>
  <c r="AD25" i="2"/>
  <c r="Y25" i="2"/>
  <c r="AB140" i="1"/>
  <c r="AD140" i="1" s="1"/>
  <c r="Y193" i="2"/>
  <c r="AB141" i="1"/>
  <c r="AC141" i="1" s="1"/>
  <c r="AD199" i="2"/>
  <c r="Y199" i="2"/>
  <c r="AD200" i="2"/>
  <c r="Y200" i="2"/>
  <c r="AB145" i="1"/>
  <c r="AG145" i="1"/>
  <c r="AG139" i="1"/>
  <c r="AB139" i="1"/>
  <c r="AD189" i="2"/>
  <c r="Y189" i="2"/>
  <c r="AD191" i="2"/>
  <c r="Y191" i="2"/>
  <c r="AD190" i="2"/>
  <c r="Y190" i="2"/>
  <c r="AC111" i="1"/>
  <c r="AA192" i="2"/>
  <c r="AA194" i="2"/>
  <c r="AA195" i="2"/>
  <c r="Z158" i="2"/>
  <c r="AD137" i="1"/>
  <c r="AG44" i="1"/>
  <c r="AB44" i="1"/>
  <c r="AG113" i="1"/>
  <c r="AB113" i="1"/>
  <c r="AG115" i="1"/>
  <c r="AB115" i="1"/>
  <c r="AD162" i="2"/>
  <c r="Y162" i="2"/>
  <c r="AD84" i="2"/>
  <c r="Y84" i="2"/>
  <c r="AD93" i="2"/>
  <c r="Y93" i="2"/>
  <c r="AD87" i="2"/>
  <c r="Y87" i="2"/>
  <c r="AD102" i="2"/>
  <c r="Y102" i="2"/>
  <c r="AG131" i="1"/>
  <c r="AB131" i="1"/>
  <c r="AD176" i="2"/>
  <c r="Y176" i="2"/>
  <c r="AG128" i="1"/>
  <c r="AB128" i="1"/>
  <c r="AD20" i="2"/>
  <c r="Y20" i="2"/>
  <c r="AD18" i="2"/>
  <c r="Y18" i="2"/>
  <c r="AD82" i="2"/>
  <c r="Y82" i="2"/>
  <c r="AD78" i="2"/>
  <c r="Y78" i="2"/>
  <c r="AD72" i="2"/>
  <c r="Y72" i="2"/>
  <c r="AG60" i="1"/>
  <c r="AB60" i="1"/>
  <c r="AD136" i="2"/>
  <c r="Y136" i="2"/>
  <c r="AD135" i="2"/>
  <c r="Y135" i="2"/>
  <c r="AG133" i="1"/>
  <c r="AB133" i="1"/>
  <c r="AD142" i="2"/>
  <c r="Y142" i="2"/>
  <c r="AG73" i="1"/>
  <c r="AB73" i="1"/>
  <c r="AD64" i="2"/>
  <c r="Y64" i="2"/>
  <c r="AG42" i="1"/>
  <c r="AB42" i="1"/>
  <c r="AG117" i="1"/>
  <c r="AB117" i="1"/>
  <c r="AD97" i="2"/>
  <c r="Y97" i="2"/>
  <c r="AD101" i="2"/>
  <c r="Y101" i="2"/>
  <c r="AG65" i="1"/>
  <c r="AB65" i="1"/>
  <c r="AD180" i="2"/>
  <c r="Y180" i="2"/>
  <c r="AD23" i="2"/>
  <c r="Y23" i="2"/>
  <c r="AG18" i="1"/>
  <c r="AB18" i="1"/>
  <c r="AC18" i="1" s="1"/>
  <c r="W224" i="1"/>
  <c r="AD80" i="2"/>
  <c r="Y80" i="2"/>
  <c r="AD83" i="2"/>
  <c r="Y83" i="2"/>
  <c r="AG58" i="1"/>
  <c r="AB58" i="1"/>
  <c r="AD130" i="2"/>
  <c r="Y130" i="2"/>
  <c r="AD129" i="2"/>
  <c r="Y129" i="2"/>
  <c r="AD185" i="2"/>
  <c r="Y185" i="2"/>
  <c r="AD138" i="2"/>
  <c r="Y138" i="2"/>
  <c r="AG94" i="1"/>
  <c r="AB94" i="1"/>
  <c r="AD106" i="2"/>
  <c r="Y106" i="2"/>
  <c r="AD124" i="2"/>
  <c r="Y124" i="2"/>
  <c r="AG86" i="1"/>
  <c r="AB86" i="1"/>
  <c r="AD237" i="2"/>
  <c r="Y237" i="2"/>
  <c r="AG27" i="1"/>
  <c r="AB27" i="1"/>
  <c r="AD28" i="2"/>
  <c r="Y28" i="2"/>
  <c r="AG107" i="1"/>
  <c r="AB107" i="1"/>
  <c r="AB157" i="1"/>
  <c r="AG157" i="1"/>
  <c r="AD219" i="2"/>
  <c r="Y219" i="2"/>
  <c r="AD201" i="2"/>
  <c r="Y201" i="2"/>
  <c r="AD60" i="2"/>
  <c r="Y60" i="2"/>
  <c r="AG43" i="1"/>
  <c r="AB43" i="1"/>
  <c r="AD65" i="2"/>
  <c r="Y65" i="2"/>
  <c r="AD63" i="2"/>
  <c r="Y63" i="2"/>
  <c r="AD61" i="2"/>
  <c r="Y61" i="2"/>
  <c r="AG116" i="1"/>
  <c r="AB116" i="1"/>
  <c r="AD161" i="2"/>
  <c r="Y161" i="2"/>
  <c r="AB121" i="1"/>
  <c r="AG121" i="1"/>
  <c r="AD168" i="2"/>
  <c r="Y168" i="2"/>
  <c r="AG120" i="1"/>
  <c r="AB120" i="1"/>
  <c r="AD94" i="2"/>
  <c r="Y94" i="2"/>
  <c r="AD103" i="2"/>
  <c r="Y103" i="2"/>
  <c r="AD98" i="2"/>
  <c r="Y98" i="2"/>
  <c r="AG66" i="1"/>
  <c r="AB66" i="1"/>
  <c r="AD99" i="2"/>
  <c r="Y99" i="2"/>
  <c r="AG67" i="1"/>
  <c r="AB67" i="1"/>
  <c r="AD95" i="2"/>
  <c r="Y95" i="2"/>
  <c r="AG124" i="1"/>
  <c r="AB124" i="1"/>
  <c r="AD177" i="2"/>
  <c r="Y177" i="2"/>
  <c r="AB130" i="1"/>
  <c r="AB123" i="1"/>
  <c r="AG123" i="1"/>
  <c r="AD15" i="2"/>
  <c r="Y15" i="2"/>
  <c r="AG21" i="1"/>
  <c r="AB21" i="1"/>
  <c r="AG19" i="1"/>
  <c r="AB19" i="1"/>
  <c r="AD21" i="2"/>
  <c r="Y21" i="2"/>
  <c r="AG53" i="1"/>
  <c r="AB53" i="1"/>
  <c r="AB62" i="1"/>
  <c r="AG62" i="1"/>
  <c r="AB56" i="1"/>
  <c r="AG56" i="1"/>
  <c r="AG50" i="1"/>
  <c r="AB50" i="1"/>
  <c r="AB55" i="1"/>
  <c r="AG55" i="1"/>
  <c r="AG49" i="1"/>
  <c r="AB49" i="1"/>
  <c r="AG46" i="1"/>
  <c r="AB46" i="1"/>
  <c r="AD137" i="2"/>
  <c r="Y137" i="2"/>
  <c r="AG92" i="1"/>
  <c r="AB92" i="1"/>
  <c r="AD134" i="2"/>
  <c r="Y134" i="2"/>
  <c r="AG93" i="1"/>
  <c r="AB93" i="1"/>
  <c r="AD183" i="2"/>
  <c r="Y183" i="2"/>
  <c r="AD181" i="2"/>
  <c r="Y181" i="2"/>
  <c r="AD184" i="2"/>
  <c r="Y184" i="2"/>
  <c r="AG95" i="1"/>
  <c r="AB95" i="1"/>
  <c r="AG96" i="1"/>
  <c r="AB96" i="1"/>
  <c r="AD139" i="2"/>
  <c r="Y139" i="2"/>
  <c r="AG71" i="1"/>
  <c r="AB71" i="1"/>
  <c r="AD105" i="2"/>
  <c r="Y105" i="2"/>
  <c r="AD109" i="2"/>
  <c r="Y109" i="2"/>
  <c r="AD107" i="2"/>
  <c r="Y107" i="2"/>
  <c r="AD125" i="2"/>
  <c r="Y125" i="2"/>
  <c r="AG83" i="1"/>
  <c r="AB83" i="1"/>
  <c r="AD120" i="2"/>
  <c r="Y120" i="2"/>
  <c r="AB79" i="1"/>
  <c r="AG79" i="1"/>
  <c r="AG87" i="1"/>
  <c r="AB87" i="1"/>
  <c r="AD122" i="2"/>
  <c r="Y122" i="2"/>
  <c r="AD234" i="2"/>
  <c r="Y234" i="2"/>
  <c r="AD228" i="2"/>
  <c r="Y228" i="2"/>
  <c r="AD232" i="2"/>
  <c r="Y232" i="2"/>
  <c r="AG162" i="1"/>
  <c r="AB162" i="1"/>
  <c r="AG31" i="1"/>
  <c r="AB31" i="1"/>
  <c r="AD29" i="2"/>
  <c r="Y29" i="2"/>
  <c r="AD41" i="2"/>
  <c r="Y41" i="2"/>
  <c r="AD32" i="2"/>
  <c r="Y32" i="2"/>
  <c r="AD39" i="2"/>
  <c r="Y39" i="2"/>
  <c r="AD42" i="2"/>
  <c r="Y42" i="2"/>
  <c r="AB108" i="1"/>
  <c r="AG108" i="1"/>
  <c r="AD146" i="2"/>
  <c r="Y146" i="2"/>
  <c r="AG109" i="1"/>
  <c r="AB109" i="1"/>
  <c r="AD151" i="2"/>
  <c r="Y151" i="2"/>
  <c r="AD154" i="2"/>
  <c r="Y154" i="2"/>
  <c r="AG153" i="1"/>
  <c r="AB153" i="1"/>
  <c r="AG152" i="1"/>
  <c r="AB152" i="1"/>
  <c r="AD222" i="2"/>
  <c r="Y222" i="2"/>
  <c r="AD212" i="2"/>
  <c r="Y212" i="2"/>
  <c r="AG158" i="1"/>
  <c r="AB158" i="1"/>
  <c r="AD224" i="2"/>
  <c r="Y224" i="2"/>
  <c r="AD203" i="2"/>
  <c r="Y203" i="2"/>
  <c r="AG150" i="1"/>
  <c r="AB150" i="1"/>
  <c r="AD202" i="2"/>
  <c r="Y202" i="2"/>
  <c r="AG38" i="1"/>
  <c r="AB38" i="1"/>
  <c r="AD59" i="2"/>
  <c r="Y59" i="2"/>
  <c r="AG39" i="1"/>
  <c r="AB39" i="1"/>
  <c r="AD58" i="2"/>
  <c r="Y58" i="2"/>
  <c r="AD53" i="2"/>
  <c r="Y53" i="2"/>
  <c r="AD54" i="2"/>
  <c r="Y54" i="2"/>
  <c r="AD49" i="2"/>
  <c r="Y49" i="2"/>
  <c r="AD169" i="2"/>
  <c r="Y169" i="2"/>
  <c r="AD170" i="2"/>
  <c r="Y170" i="2"/>
  <c r="AG76" i="1"/>
  <c r="AB76" i="1"/>
  <c r="AG80" i="1"/>
  <c r="AB80" i="1"/>
  <c r="AB77" i="1"/>
  <c r="AG77" i="1"/>
  <c r="AD227" i="2"/>
  <c r="Y227" i="2"/>
  <c r="AG161" i="1"/>
  <c r="AB161" i="1"/>
  <c r="AG30" i="1"/>
  <c r="AB30" i="1"/>
  <c r="AD31" i="2"/>
  <c r="Y31" i="2"/>
  <c r="AD155" i="2"/>
  <c r="Y155" i="2"/>
  <c r="AB100" i="1"/>
  <c r="AG100" i="1"/>
  <c r="AD214" i="2"/>
  <c r="Y214" i="2"/>
  <c r="AG149" i="1"/>
  <c r="AB149" i="1"/>
  <c r="AD206" i="2"/>
  <c r="Y206" i="2"/>
  <c r="Z16" i="3"/>
  <c r="AH16" i="3" s="1"/>
  <c r="AG33" i="1"/>
  <c r="AB33" i="1"/>
  <c r="AD43" i="2"/>
  <c r="Y43" i="2"/>
  <c r="AD171" i="2"/>
  <c r="Y171" i="2"/>
  <c r="AD69" i="2"/>
  <c r="Y69" i="2"/>
  <c r="AD70" i="2"/>
  <c r="Y70" i="2"/>
  <c r="AG45" i="1"/>
  <c r="AB45" i="1"/>
  <c r="AD66" i="2"/>
  <c r="Y66" i="2"/>
  <c r="AB114" i="1"/>
  <c r="AG114" i="1"/>
  <c r="AB118" i="1"/>
  <c r="AG118" i="1"/>
  <c r="AD165" i="2"/>
  <c r="Y165" i="2"/>
  <c r="AD163" i="2"/>
  <c r="Y163" i="2"/>
  <c r="AD159" i="2"/>
  <c r="Y159" i="2"/>
  <c r="AD86" i="2"/>
  <c r="Y86" i="2"/>
  <c r="AD89" i="2"/>
  <c r="Y89" i="2"/>
  <c r="AD88" i="2"/>
  <c r="Y88" i="2"/>
  <c r="AG68" i="1"/>
  <c r="AB68" i="1"/>
  <c r="AD96" i="2"/>
  <c r="Y96" i="2"/>
  <c r="AG64" i="1"/>
  <c r="AB64" i="1"/>
  <c r="AD92" i="2"/>
  <c r="Y92" i="2"/>
  <c r="AG127" i="1"/>
  <c r="AB127" i="1"/>
  <c r="AG125" i="1"/>
  <c r="AB125" i="1"/>
  <c r="AG132" i="1"/>
  <c r="AB132" i="1"/>
  <c r="AD174" i="2"/>
  <c r="Y174" i="2"/>
  <c r="AD19" i="2"/>
  <c r="Y19" i="2"/>
  <c r="AG20" i="1"/>
  <c r="AB20" i="1"/>
  <c r="AD17" i="2"/>
  <c r="Y17" i="2"/>
  <c r="AD73" i="2"/>
  <c r="Y73" i="2"/>
  <c r="AB59" i="1"/>
  <c r="AG59" i="1"/>
  <c r="AB54" i="1"/>
  <c r="AG54" i="1"/>
  <c r="AG52" i="1"/>
  <c r="AB52" i="1"/>
  <c r="AD71" i="2"/>
  <c r="Y71" i="2"/>
  <c r="AD74" i="2"/>
  <c r="Y74" i="2"/>
  <c r="AG47" i="1"/>
  <c r="AB47" i="1"/>
  <c r="AD81" i="2"/>
  <c r="Y81" i="2"/>
  <c r="AD132" i="2"/>
  <c r="Y132" i="2"/>
  <c r="AB90" i="1"/>
  <c r="AG90" i="1"/>
  <c r="AD126" i="2"/>
  <c r="Y126" i="2"/>
  <c r="AD131" i="2"/>
  <c r="Y131" i="2"/>
  <c r="AG135" i="1"/>
  <c r="AB135" i="1"/>
  <c r="AD182" i="2"/>
  <c r="Y182" i="2"/>
  <c r="AG97" i="1"/>
  <c r="AB97" i="1"/>
  <c r="AD141" i="2"/>
  <c r="Y141" i="2"/>
  <c r="AG72" i="1"/>
  <c r="AB72" i="1"/>
  <c r="AG70" i="1"/>
  <c r="AB70" i="1"/>
  <c r="AD108" i="2"/>
  <c r="Y108" i="2"/>
  <c r="AD110" i="2"/>
  <c r="Y110" i="2"/>
  <c r="AG81" i="1"/>
  <c r="AB81" i="1"/>
  <c r="AD112" i="2"/>
  <c r="Y112" i="2"/>
  <c r="AG88" i="1"/>
  <c r="AB88" i="1"/>
  <c r="AG85" i="1"/>
  <c r="AB85" i="1"/>
  <c r="AD123" i="2"/>
  <c r="Y123" i="2"/>
  <c r="AB89" i="1"/>
  <c r="AG89" i="1"/>
  <c r="AD118" i="2"/>
  <c r="Y118" i="2"/>
  <c r="AG163" i="1"/>
  <c r="AB163" i="1"/>
  <c r="AG160" i="1"/>
  <c r="AB160" i="1"/>
  <c r="AD229" i="2"/>
  <c r="Y229" i="2"/>
  <c r="AD233" i="2"/>
  <c r="Y233" i="2"/>
  <c r="AD30" i="2"/>
  <c r="Y30" i="2"/>
  <c r="AD36" i="2"/>
  <c r="Y36" i="2"/>
  <c r="AG28" i="1"/>
  <c r="AB28" i="1"/>
  <c r="AD35" i="2"/>
  <c r="Y35" i="2"/>
  <c r="AG32" i="1"/>
  <c r="AB32" i="1"/>
  <c r="AD38" i="2"/>
  <c r="Y38" i="2"/>
  <c r="AB106" i="1"/>
  <c r="AG106" i="1"/>
  <c r="AG103" i="1"/>
  <c r="AB103" i="1"/>
  <c r="AD145" i="2"/>
  <c r="Y145" i="2"/>
  <c r="AD147" i="2"/>
  <c r="Y147" i="2"/>
  <c r="AD144" i="2"/>
  <c r="Y144" i="2"/>
  <c r="AD148" i="2"/>
  <c r="Y148" i="2"/>
  <c r="AD220" i="2"/>
  <c r="Y220" i="2"/>
  <c r="AD218" i="2"/>
  <c r="Y218" i="2"/>
  <c r="AD215" i="2"/>
  <c r="Y215" i="2"/>
  <c r="AD221" i="2"/>
  <c r="Y221" i="2"/>
  <c r="AD210" i="2"/>
  <c r="Y210" i="2"/>
  <c r="AD217" i="2"/>
  <c r="Y217" i="2"/>
  <c r="AG148" i="1"/>
  <c r="AB148" i="1"/>
  <c r="AD207" i="2"/>
  <c r="Y207" i="2"/>
  <c r="AD208" i="2"/>
  <c r="Y208" i="2"/>
  <c r="AD51" i="2"/>
  <c r="Y51" i="2"/>
  <c r="AD50" i="2"/>
  <c r="Y50" i="2"/>
  <c r="AD57" i="2"/>
  <c r="Y57" i="2"/>
  <c r="AD46" i="2"/>
  <c r="Y46" i="2"/>
  <c r="AB37" i="1"/>
  <c r="AG37" i="1"/>
  <c r="AD56" i="2"/>
  <c r="Y56" i="2"/>
  <c r="AG122" i="1"/>
  <c r="AB122" i="1"/>
  <c r="AG74" i="1"/>
  <c r="AB74" i="1"/>
  <c r="AG84" i="1"/>
  <c r="AB84" i="1"/>
  <c r="AG78" i="1"/>
  <c r="AB78" i="1"/>
  <c r="AD115" i="2"/>
  <c r="Y115" i="2"/>
  <c r="AD226" i="2"/>
  <c r="Y226" i="2"/>
  <c r="AD230" i="2"/>
  <c r="Y230" i="2"/>
  <c r="AD40" i="2"/>
  <c r="Y40" i="2"/>
  <c r="AG102" i="1"/>
  <c r="AB102" i="1"/>
  <c r="AG104" i="1"/>
  <c r="AB104" i="1"/>
  <c r="AD216" i="2"/>
  <c r="Y216" i="2"/>
  <c r="AG155" i="1"/>
  <c r="AB155" i="1"/>
  <c r="AD211" i="2"/>
  <c r="Y211" i="2"/>
  <c r="AG151" i="1"/>
  <c r="AB151" i="1"/>
  <c r="AD55" i="2"/>
  <c r="Y55" i="2"/>
  <c r="AD52" i="2"/>
  <c r="Y52" i="2"/>
  <c r="AB35" i="1"/>
  <c r="AG35" i="1"/>
  <c r="AD172" i="2"/>
  <c r="Y172" i="2"/>
  <c r="AG41" i="1"/>
  <c r="AB41" i="1"/>
  <c r="AD62" i="2"/>
  <c r="Y62" i="2"/>
  <c r="AD68" i="2"/>
  <c r="Y68" i="2"/>
  <c r="AD67" i="2"/>
  <c r="Y67" i="2"/>
  <c r="AD164" i="2"/>
  <c r="Y164" i="2"/>
  <c r="AG119" i="1"/>
  <c r="AB119" i="1"/>
  <c r="AD167" i="2"/>
  <c r="Y167" i="2"/>
  <c r="AD160" i="2"/>
  <c r="Y160" i="2"/>
  <c r="AD166" i="2"/>
  <c r="Y166" i="2"/>
  <c r="AD91" i="2"/>
  <c r="Y91" i="2"/>
  <c r="AD100" i="2"/>
  <c r="Y100" i="2"/>
  <c r="AG63" i="1"/>
  <c r="AB63" i="1"/>
  <c r="AD85" i="2"/>
  <c r="Y85" i="2"/>
  <c r="AD90" i="2"/>
  <c r="Y90" i="2"/>
  <c r="AD179" i="2"/>
  <c r="Y179" i="2"/>
  <c r="AD178" i="2"/>
  <c r="Y178" i="2"/>
  <c r="AD175" i="2"/>
  <c r="Y175" i="2"/>
  <c r="AB129" i="1"/>
  <c r="AG129" i="1"/>
  <c r="AG126" i="1"/>
  <c r="AB126" i="1"/>
  <c r="AD16" i="2"/>
  <c r="Y16" i="2"/>
  <c r="AD14" i="2"/>
  <c r="Y14" i="2"/>
  <c r="T238" i="2"/>
  <c r="AG22" i="1"/>
  <c r="AB22" i="1"/>
  <c r="AD22" i="2"/>
  <c r="Y22" i="2"/>
  <c r="AG51" i="1"/>
  <c r="AB51" i="1"/>
  <c r="AG57" i="1"/>
  <c r="AB57" i="1"/>
  <c r="AG48" i="1"/>
  <c r="AB48" i="1"/>
  <c r="AD79" i="2"/>
  <c r="Y79" i="2"/>
  <c r="AG61" i="1"/>
  <c r="AB61" i="1"/>
  <c r="AD77" i="2"/>
  <c r="Y77" i="2"/>
  <c r="AD75" i="2"/>
  <c r="Y75" i="2"/>
  <c r="AG91" i="1"/>
  <c r="AB91" i="1"/>
  <c r="AD128" i="2"/>
  <c r="Y128" i="2"/>
  <c r="AD127" i="2"/>
  <c r="Y127" i="2"/>
  <c r="AD133" i="2"/>
  <c r="Y133" i="2"/>
  <c r="AD186" i="2"/>
  <c r="Y186" i="2"/>
  <c r="AG134" i="1"/>
  <c r="AB134" i="1"/>
  <c r="AB98" i="1"/>
  <c r="AD143" i="2"/>
  <c r="Y143" i="2"/>
  <c r="AD140" i="2"/>
  <c r="Y140" i="2"/>
  <c r="AD104" i="2"/>
  <c r="Y104" i="2"/>
  <c r="AG69" i="1"/>
  <c r="AB69" i="1"/>
  <c r="AD111" i="2"/>
  <c r="Y111" i="2"/>
  <c r="AG75" i="1"/>
  <c r="AB75" i="1"/>
  <c r="AD121" i="2"/>
  <c r="Y121" i="2"/>
  <c r="AG82" i="1"/>
  <c r="AB82" i="1"/>
  <c r="AD113" i="2"/>
  <c r="Y113" i="2"/>
  <c r="AD117" i="2"/>
  <c r="Y117" i="2"/>
  <c r="AD119" i="2"/>
  <c r="Y119" i="2"/>
  <c r="AD116" i="2"/>
  <c r="Y116" i="2"/>
  <c r="AD114" i="2"/>
  <c r="Y114" i="2"/>
  <c r="AD236" i="2"/>
  <c r="Y236" i="2"/>
  <c r="AD225" i="2"/>
  <c r="Y225" i="2"/>
  <c r="AD231" i="2"/>
  <c r="Y231" i="2"/>
  <c r="AD235" i="2"/>
  <c r="Y235" i="2"/>
  <c r="AD37" i="2"/>
  <c r="Y37" i="2"/>
  <c r="AG29" i="1"/>
  <c r="AB29" i="1"/>
  <c r="AG26" i="1"/>
  <c r="AB26" i="1"/>
  <c r="AD34" i="2"/>
  <c r="Y34" i="2"/>
  <c r="AD33" i="2"/>
  <c r="Y33" i="2"/>
  <c r="AD153" i="2"/>
  <c r="Y153" i="2"/>
  <c r="AD150" i="2"/>
  <c r="Y150" i="2"/>
  <c r="AB101" i="1"/>
  <c r="AG101" i="1"/>
  <c r="AG105" i="1"/>
  <c r="AB105" i="1"/>
  <c r="AD149" i="2"/>
  <c r="Y149" i="2"/>
  <c r="AG99" i="1"/>
  <c r="AB99" i="1"/>
  <c r="AD156" i="2"/>
  <c r="Y156" i="2"/>
  <c r="AD223" i="2"/>
  <c r="Y223" i="2"/>
  <c r="AB159" i="1"/>
  <c r="AG159" i="1"/>
  <c r="AD213" i="2"/>
  <c r="Y213" i="2"/>
  <c r="AG154" i="1"/>
  <c r="AB154" i="1"/>
  <c r="AG156" i="1"/>
  <c r="AB156" i="1"/>
  <c r="AD205" i="2"/>
  <c r="Y205" i="2"/>
  <c r="AD209" i="2"/>
  <c r="Y209" i="2"/>
  <c r="AG147" i="1"/>
  <c r="AB147" i="1"/>
  <c r="AD204" i="2"/>
  <c r="Y204" i="2"/>
  <c r="AC112" i="1"/>
  <c r="AD112" i="1"/>
  <c r="AD44" i="2"/>
  <c r="Y44" i="2"/>
  <c r="AG36" i="1"/>
  <c r="AB36" i="1"/>
  <c r="AD47" i="2"/>
  <c r="Y47" i="2"/>
  <c r="AB34" i="1"/>
  <c r="AG34" i="1"/>
  <c r="AB40" i="1"/>
  <c r="AG40" i="1"/>
  <c r="AD48" i="2"/>
  <c r="Y48" i="2"/>
  <c r="AD45" i="2"/>
  <c r="Y45" i="2"/>
  <c r="AD173" i="2"/>
  <c r="Y173" i="2"/>
  <c r="J6" i="5"/>
  <c r="F6" i="5"/>
  <c r="F29" i="5" s="1"/>
  <c r="C29" i="5"/>
  <c r="J7" i="5"/>
  <c r="E16" i="4"/>
  <c r="B7" i="4"/>
  <c r="B17" i="4" s="1"/>
  <c r="W238" i="2"/>
  <c r="S240" i="2"/>
  <c r="X238" i="2"/>
  <c r="X239" i="2" s="1"/>
  <c r="X240" i="2" s="1"/>
  <c r="H14" i="5" l="1"/>
  <c r="U30" i="3"/>
  <c r="H17" i="5"/>
  <c r="U31" i="3"/>
  <c r="J13" i="5"/>
  <c r="T13" i="5"/>
  <c r="U13" i="5" s="1"/>
  <c r="J22" i="5"/>
  <c r="T22" i="5"/>
  <c r="U22" i="5" s="1"/>
  <c r="H21" i="5"/>
  <c r="U33" i="3"/>
  <c r="J11" i="5"/>
  <c r="T11" i="5"/>
  <c r="U11" i="5" s="1"/>
  <c r="J12" i="5"/>
  <c r="T12" i="5"/>
  <c r="U12" i="5" s="1"/>
  <c r="J9" i="5"/>
  <c r="T9" i="5"/>
  <c r="U9" i="5" s="1"/>
  <c r="H19" i="5"/>
  <c r="U32" i="3"/>
  <c r="J25" i="5"/>
  <c r="T25" i="5"/>
  <c r="U25" i="5" s="1"/>
  <c r="Z35" i="3"/>
  <c r="U35" i="3"/>
  <c r="Z34" i="3"/>
  <c r="U34" i="3"/>
  <c r="Z36" i="3"/>
  <c r="U36" i="3"/>
  <c r="J16" i="5"/>
  <c r="T16" i="5"/>
  <c r="U16" i="5" s="1"/>
  <c r="Z33" i="3"/>
  <c r="S38" i="3"/>
  <c r="S39" i="3" s="1"/>
  <c r="S40" i="3" s="1"/>
  <c r="S41" i="3" s="1"/>
  <c r="Z30" i="3"/>
  <c r="H23" i="5"/>
  <c r="H24" i="5"/>
  <c r="Z18" i="3"/>
  <c r="AH18" i="3" s="1"/>
  <c r="Z19" i="3"/>
  <c r="AH19" i="3" s="1"/>
  <c r="Z21" i="3"/>
  <c r="AH21" i="3" s="1"/>
  <c r="Z31" i="3"/>
  <c r="Z32" i="3"/>
  <c r="Z20" i="3"/>
  <c r="AH20" i="3" s="1"/>
  <c r="Z25" i="3"/>
  <c r="AH25" i="3" s="1"/>
  <c r="Z22" i="3"/>
  <c r="AH22" i="3" s="1"/>
  <c r="AA198" i="2"/>
  <c r="AD24" i="1"/>
  <c r="AC24" i="1"/>
  <c r="AC143" i="1"/>
  <c r="AA197" i="2"/>
  <c r="Z188" i="2"/>
  <c r="Z187" i="2"/>
  <c r="AA196" i="2"/>
  <c r="AD136" i="1"/>
  <c r="AC144" i="1"/>
  <c r="AD144" i="1"/>
  <c r="AA26" i="2"/>
  <c r="AA27" i="2"/>
  <c r="AA24" i="2"/>
  <c r="AD25" i="1"/>
  <c r="AC140" i="1"/>
  <c r="AD141" i="1"/>
  <c r="AC23" i="1"/>
  <c r="AD23" i="1"/>
  <c r="Z25" i="2"/>
  <c r="AA25" i="2"/>
  <c r="Z193" i="2"/>
  <c r="AA193" i="2"/>
  <c r="Z199" i="2"/>
  <c r="AA199" i="2"/>
  <c r="AA190" i="2"/>
  <c r="Z190" i="2"/>
  <c r="Z189" i="2"/>
  <c r="AA189" i="2"/>
  <c r="AD145" i="1"/>
  <c r="AC145" i="1"/>
  <c r="Z191" i="2"/>
  <c r="AA191" i="2"/>
  <c r="AC139" i="1"/>
  <c r="AD139" i="1"/>
  <c r="Z200" i="2"/>
  <c r="AA200" i="2"/>
  <c r="Z173" i="2"/>
  <c r="AA173" i="2"/>
  <c r="AD36" i="1"/>
  <c r="AC36" i="1"/>
  <c r="Z205" i="2"/>
  <c r="AA205" i="2"/>
  <c r="Z149" i="2"/>
  <c r="AA149" i="2"/>
  <c r="Z153" i="2"/>
  <c r="AA153" i="2"/>
  <c r="AD29" i="1"/>
  <c r="AC29" i="1"/>
  <c r="AA225" i="2"/>
  <c r="Z225" i="2"/>
  <c r="Z119" i="2"/>
  <c r="AA119" i="2"/>
  <c r="AA121" i="2"/>
  <c r="Z121" i="2"/>
  <c r="Z111" i="2"/>
  <c r="AA111" i="2"/>
  <c r="Z143" i="2"/>
  <c r="AA143" i="2"/>
  <c r="AA133" i="2"/>
  <c r="Z133" i="2"/>
  <c r="Z75" i="2"/>
  <c r="AA75" i="2"/>
  <c r="AA79" i="2"/>
  <c r="Z79" i="2"/>
  <c r="Z22" i="2"/>
  <c r="AA22" i="2"/>
  <c r="AC129" i="1"/>
  <c r="AD129" i="1"/>
  <c r="AC59" i="1"/>
  <c r="AD59" i="1"/>
  <c r="AC114" i="1"/>
  <c r="AD114" i="1"/>
  <c r="AC77" i="1"/>
  <c r="AD77" i="1"/>
  <c r="AC56" i="1"/>
  <c r="AD56" i="1"/>
  <c r="AD157" i="1"/>
  <c r="AC157" i="1"/>
  <c r="AC65" i="1"/>
  <c r="AD65" i="1"/>
  <c r="AA97" i="2"/>
  <c r="Z97" i="2"/>
  <c r="AD133" i="1"/>
  <c r="AC133" i="1"/>
  <c r="Z136" i="2"/>
  <c r="AA136" i="2"/>
  <c r="Z72" i="2"/>
  <c r="AA72" i="2"/>
  <c r="AA82" i="2"/>
  <c r="Z82" i="2"/>
  <c r="Z20" i="2"/>
  <c r="AA20" i="2"/>
  <c r="Z176" i="2"/>
  <c r="AA176" i="2"/>
  <c r="AA102" i="2"/>
  <c r="Z102" i="2"/>
  <c r="AC113" i="1"/>
  <c r="AD113" i="1"/>
  <c r="AA14" i="2"/>
  <c r="Y238" i="2"/>
  <c r="Y239" i="2" s="1"/>
  <c r="Y240" i="2" s="1"/>
  <c r="Z14" i="2"/>
  <c r="AC126" i="1"/>
  <c r="AD126" i="1"/>
  <c r="Z175" i="2"/>
  <c r="AA175" i="2"/>
  <c r="AA179" i="2"/>
  <c r="Z179" i="2"/>
  <c r="AA85" i="2"/>
  <c r="Z85" i="2"/>
  <c r="Z100" i="2"/>
  <c r="AA100" i="2"/>
  <c r="Z166" i="2"/>
  <c r="AA166" i="2"/>
  <c r="AA167" i="2"/>
  <c r="Z167" i="2"/>
  <c r="Z164" i="2"/>
  <c r="AA164" i="2"/>
  <c r="AA68" i="2"/>
  <c r="Z68" i="2"/>
  <c r="AD41" i="1"/>
  <c r="AC41" i="1"/>
  <c r="Z55" i="2"/>
  <c r="AA55" i="2"/>
  <c r="AA211" i="2"/>
  <c r="Z211" i="2"/>
  <c r="AA216" i="2"/>
  <c r="Z216" i="2"/>
  <c r="AC102" i="1"/>
  <c r="AD102" i="1"/>
  <c r="Z230" i="2"/>
  <c r="AA230" i="2"/>
  <c r="Z115" i="2"/>
  <c r="AA115" i="2"/>
  <c r="AC84" i="1"/>
  <c r="AD84" i="1"/>
  <c r="AC122" i="1"/>
  <c r="AD122" i="1"/>
  <c r="AA57" i="2"/>
  <c r="Z57" i="2"/>
  <c r="Z51" i="2"/>
  <c r="AA51" i="2"/>
  <c r="Z207" i="2"/>
  <c r="AA207" i="2"/>
  <c r="Z217" i="2"/>
  <c r="AA217" i="2"/>
  <c r="Z221" i="2"/>
  <c r="AA221" i="2"/>
  <c r="AA218" i="2"/>
  <c r="Z218" i="2"/>
  <c r="AA148" i="2"/>
  <c r="Z148" i="2"/>
  <c r="Z147" i="2"/>
  <c r="AA147" i="2"/>
  <c r="AC103" i="1"/>
  <c r="AD103" i="1"/>
  <c r="AA38" i="2"/>
  <c r="Z38" i="2"/>
  <c r="Z35" i="2"/>
  <c r="AA35" i="2"/>
  <c r="AA36" i="2"/>
  <c r="Z36" i="2"/>
  <c r="Z233" i="2"/>
  <c r="AA233" i="2"/>
  <c r="AC160" i="1"/>
  <c r="AD160" i="1"/>
  <c r="AA118" i="2"/>
  <c r="Z118" i="2"/>
  <c r="AA123" i="2"/>
  <c r="Z123" i="2"/>
  <c r="AD88" i="1"/>
  <c r="AC88" i="1"/>
  <c r="AD81" i="1"/>
  <c r="AC81" i="1"/>
  <c r="Z108" i="2"/>
  <c r="AA108" i="2"/>
  <c r="AD72" i="1"/>
  <c r="AC72" i="1"/>
  <c r="AD97" i="1"/>
  <c r="AC97" i="1"/>
  <c r="AD135" i="1"/>
  <c r="AC135" i="1"/>
  <c r="AA126" i="2"/>
  <c r="Z126" i="2"/>
  <c r="Z132" i="2"/>
  <c r="AA132" i="2"/>
  <c r="AD47" i="1"/>
  <c r="AC47" i="1"/>
  <c r="Z71" i="2"/>
  <c r="AA71" i="2"/>
  <c r="AA73" i="2"/>
  <c r="Z73" i="2"/>
  <c r="AC20" i="1"/>
  <c r="AD20" i="1"/>
  <c r="AA174" i="2"/>
  <c r="Z174" i="2"/>
  <c r="AD125" i="1"/>
  <c r="AC125" i="1"/>
  <c r="Z92" i="2"/>
  <c r="AA92" i="2"/>
  <c r="Z96" i="2"/>
  <c r="AA96" i="2"/>
  <c r="AA88" i="2"/>
  <c r="Z88" i="2"/>
  <c r="AA86" i="2"/>
  <c r="Z86" i="2"/>
  <c r="Z163" i="2"/>
  <c r="AA163" i="2"/>
  <c r="Z66" i="2"/>
  <c r="AA66" i="2"/>
  <c r="Z70" i="2"/>
  <c r="AA70" i="2"/>
  <c r="Z171" i="2"/>
  <c r="AA171" i="2"/>
  <c r="AD33" i="1"/>
  <c r="AC33" i="1"/>
  <c r="AA206" i="2"/>
  <c r="Z206" i="2"/>
  <c r="AA214" i="2"/>
  <c r="Z214" i="2"/>
  <c r="Z155" i="2"/>
  <c r="AA155" i="2"/>
  <c r="AD30" i="1"/>
  <c r="AC30" i="1"/>
  <c r="Z227" i="2"/>
  <c r="AA227" i="2"/>
  <c r="AC80" i="1"/>
  <c r="AD80" i="1"/>
  <c r="AA170" i="2"/>
  <c r="Z170" i="2"/>
  <c r="AA49" i="2"/>
  <c r="Z49" i="2"/>
  <c r="Z53" i="2"/>
  <c r="AA53" i="2"/>
  <c r="AC39" i="1"/>
  <c r="AD39" i="1"/>
  <c r="AC38" i="1"/>
  <c r="AD38" i="1"/>
  <c r="AD150" i="1"/>
  <c r="AC150" i="1"/>
  <c r="AA224" i="2"/>
  <c r="Z224" i="2"/>
  <c r="Z212" i="2"/>
  <c r="AA212" i="2"/>
  <c r="AC152" i="1"/>
  <c r="AD152" i="1"/>
  <c r="AA154" i="2"/>
  <c r="Z154" i="2"/>
  <c r="AD109" i="1"/>
  <c r="AC109" i="1"/>
  <c r="AA39" i="2"/>
  <c r="Z39" i="2"/>
  <c r="AA41" i="2"/>
  <c r="Z41" i="2"/>
  <c r="AC31" i="1"/>
  <c r="AD31" i="1"/>
  <c r="AA232" i="2"/>
  <c r="Z232" i="2"/>
  <c r="AA234" i="2"/>
  <c r="Z234" i="2"/>
  <c r="AC87" i="1"/>
  <c r="AD87" i="1"/>
  <c r="AA120" i="2"/>
  <c r="Z120" i="2"/>
  <c r="Z125" i="2"/>
  <c r="AA125" i="2"/>
  <c r="AA109" i="2"/>
  <c r="Z109" i="2"/>
  <c r="AC71" i="1"/>
  <c r="AD71" i="1"/>
  <c r="AD96" i="1"/>
  <c r="AC96" i="1"/>
  <c r="Z184" i="2"/>
  <c r="AA184" i="2"/>
  <c r="AA183" i="2"/>
  <c r="Z183" i="2"/>
  <c r="Z134" i="2"/>
  <c r="AA134" i="2"/>
  <c r="AA137" i="2"/>
  <c r="Z137" i="2"/>
  <c r="AD49" i="1"/>
  <c r="AC49" i="1"/>
  <c r="AC50" i="1"/>
  <c r="AD50" i="1"/>
  <c r="Z21" i="2"/>
  <c r="AA21" i="2"/>
  <c r="AD21" i="1"/>
  <c r="AC21" i="1"/>
  <c r="Z177" i="2"/>
  <c r="AA177" i="2"/>
  <c r="Z95" i="2"/>
  <c r="AA95" i="2"/>
  <c r="Z99" i="2"/>
  <c r="AA99" i="2"/>
  <c r="AA98" i="2"/>
  <c r="Z98" i="2"/>
  <c r="AA94" i="2"/>
  <c r="Z94" i="2"/>
  <c r="Z168" i="2"/>
  <c r="AA168" i="2"/>
  <c r="Z161" i="2"/>
  <c r="AA161" i="2"/>
  <c r="AA61" i="2"/>
  <c r="Z61" i="2"/>
  <c r="Z65" i="2"/>
  <c r="AA65" i="2"/>
  <c r="Z60" i="2"/>
  <c r="AA60" i="2"/>
  <c r="Z219" i="2"/>
  <c r="AA219" i="2"/>
  <c r="AD107" i="1"/>
  <c r="AC107" i="1"/>
  <c r="Z28" i="2"/>
  <c r="AA28" i="2"/>
  <c r="Z237" i="2"/>
  <c r="AA237" i="2"/>
  <c r="Z124" i="2"/>
  <c r="AA124" i="2"/>
  <c r="AC94" i="1"/>
  <c r="AD94" i="1"/>
  <c r="Z185" i="2"/>
  <c r="AA185" i="2"/>
  <c r="AA130" i="2"/>
  <c r="Z130" i="2"/>
  <c r="Z83" i="2"/>
  <c r="AA83" i="2"/>
  <c r="AG224" i="1"/>
  <c r="W225" i="1"/>
  <c r="AC147" i="1"/>
  <c r="AD147" i="1"/>
  <c r="T239" i="2"/>
  <c r="AD238" i="2"/>
  <c r="AC106" i="1"/>
  <c r="AD106" i="1"/>
  <c r="AD89" i="1"/>
  <c r="AC89" i="1"/>
  <c r="AC79" i="1"/>
  <c r="AD79" i="1"/>
  <c r="AD55" i="1"/>
  <c r="AC55" i="1"/>
  <c r="AC73" i="1"/>
  <c r="AD73" i="1"/>
  <c r="AA93" i="2"/>
  <c r="Z93" i="2"/>
  <c r="AC34" i="1"/>
  <c r="AD34" i="1"/>
  <c r="AC159" i="1"/>
  <c r="AD159" i="1"/>
  <c r="AD101" i="1"/>
  <c r="AC101" i="1"/>
  <c r="Z45" i="2"/>
  <c r="AA45" i="2"/>
  <c r="Z47" i="2"/>
  <c r="AA47" i="2"/>
  <c r="Z44" i="2"/>
  <c r="AA44" i="2"/>
  <c r="AA204" i="2"/>
  <c r="Z204" i="2"/>
  <c r="Z209" i="2"/>
  <c r="AA209" i="2"/>
  <c r="AD156" i="1"/>
  <c r="AC156" i="1"/>
  <c r="Z213" i="2"/>
  <c r="AA213" i="2"/>
  <c r="Z223" i="2"/>
  <c r="AA223" i="2"/>
  <c r="AC99" i="1"/>
  <c r="AD99" i="1"/>
  <c r="AD105" i="1"/>
  <c r="AC105" i="1"/>
  <c r="Z150" i="2"/>
  <c r="AA150" i="2"/>
  <c r="AA33" i="2"/>
  <c r="Z33" i="2"/>
  <c r="AC26" i="1"/>
  <c r="AD26" i="1"/>
  <c r="AA37" i="2"/>
  <c r="Z37" i="2"/>
  <c r="Z231" i="2"/>
  <c r="AA231" i="2"/>
  <c r="AA236" i="2"/>
  <c r="Z236" i="2"/>
  <c r="Z116" i="2"/>
  <c r="AA116" i="2"/>
  <c r="Z117" i="2"/>
  <c r="AA117" i="2"/>
  <c r="AD82" i="1"/>
  <c r="AC82" i="1"/>
  <c r="AD75" i="1"/>
  <c r="AC75" i="1"/>
  <c r="AC69" i="1"/>
  <c r="AD69" i="1"/>
  <c r="Z140" i="2"/>
  <c r="AA140" i="2"/>
  <c r="AC98" i="1"/>
  <c r="AD98" i="1"/>
  <c r="Z186" i="2"/>
  <c r="AA186" i="2"/>
  <c r="AA127" i="2"/>
  <c r="Z127" i="2"/>
  <c r="AD91" i="1"/>
  <c r="AC91" i="1"/>
  <c r="AC61" i="1"/>
  <c r="AD61" i="1"/>
  <c r="AC48" i="1"/>
  <c r="AD48" i="1"/>
  <c r="AC51" i="1"/>
  <c r="AD51" i="1"/>
  <c r="AC22" i="1"/>
  <c r="AD22" i="1"/>
  <c r="AC35" i="1"/>
  <c r="AD35" i="1"/>
  <c r="AC37" i="1"/>
  <c r="AD37" i="1"/>
  <c r="AD54" i="1"/>
  <c r="AC54" i="1"/>
  <c r="AC118" i="1"/>
  <c r="AD118" i="1"/>
  <c r="AC108" i="1"/>
  <c r="AD108" i="1"/>
  <c r="AC62" i="1"/>
  <c r="AD62" i="1"/>
  <c r="AC123" i="1"/>
  <c r="AD123" i="1"/>
  <c r="AD18" i="1"/>
  <c r="AB224" i="1"/>
  <c r="AB225" i="1" s="1"/>
  <c r="Z180" i="2"/>
  <c r="AA180" i="2"/>
  <c r="AA101" i="2"/>
  <c r="Z101" i="2"/>
  <c r="AC117" i="1"/>
  <c r="AD117" i="1"/>
  <c r="Z64" i="2"/>
  <c r="AA64" i="2"/>
  <c r="AA142" i="2"/>
  <c r="Z142" i="2"/>
  <c r="AA135" i="2"/>
  <c r="Z135" i="2"/>
  <c r="AC60" i="1"/>
  <c r="AD60" i="1"/>
  <c r="Z78" i="2"/>
  <c r="AA78" i="2"/>
  <c r="Z18" i="2"/>
  <c r="AA18" i="2"/>
  <c r="AC128" i="1"/>
  <c r="AD128" i="1"/>
  <c r="AD131" i="1"/>
  <c r="AC131" i="1"/>
  <c r="Z87" i="2"/>
  <c r="AA87" i="2"/>
  <c r="Z84" i="2"/>
  <c r="AA84" i="2"/>
  <c r="AC115" i="1"/>
  <c r="AD115" i="1"/>
  <c r="AD44" i="1"/>
  <c r="AC44" i="1"/>
  <c r="AA48" i="2"/>
  <c r="Z48" i="2"/>
  <c r="AC154" i="1"/>
  <c r="AD154" i="1"/>
  <c r="Z156" i="2"/>
  <c r="AA156" i="2"/>
  <c r="AA34" i="2"/>
  <c r="Z34" i="2"/>
  <c r="Z235" i="2"/>
  <c r="AA235" i="2"/>
  <c r="AA114" i="2"/>
  <c r="Z114" i="2"/>
  <c r="Z113" i="2"/>
  <c r="AA113" i="2"/>
  <c r="Z104" i="2"/>
  <c r="AA104" i="2"/>
  <c r="AC134" i="1"/>
  <c r="AD134" i="1"/>
  <c r="Z128" i="2"/>
  <c r="AA128" i="2"/>
  <c r="AA77" i="2"/>
  <c r="Z77" i="2"/>
  <c r="AD57" i="1"/>
  <c r="AC57" i="1"/>
  <c r="AD90" i="1"/>
  <c r="AC90" i="1"/>
  <c r="AD100" i="1"/>
  <c r="AC100" i="1"/>
  <c r="AD121" i="1"/>
  <c r="AC121" i="1"/>
  <c r="Z23" i="2"/>
  <c r="AA23" i="2"/>
  <c r="AC42" i="1"/>
  <c r="AD42" i="1"/>
  <c r="AA162" i="2"/>
  <c r="Z162" i="2"/>
  <c r="AD40" i="1"/>
  <c r="AC40" i="1"/>
  <c r="Z16" i="2"/>
  <c r="AA16" i="2"/>
  <c r="AA178" i="2"/>
  <c r="Z178" i="2"/>
  <c r="AA90" i="2"/>
  <c r="Z90" i="2"/>
  <c r="AC63" i="1"/>
  <c r="AD63" i="1"/>
  <c r="Z91" i="2"/>
  <c r="AA91" i="2"/>
  <c r="Z160" i="2"/>
  <c r="AA160" i="2"/>
  <c r="AD119" i="1"/>
  <c r="AC119" i="1"/>
  <c r="Z67" i="2"/>
  <c r="AA67" i="2"/>
  <c r="Z62" i="2"/>
  <c r="AA62" i="2"/>
  <c r="Z172" i="2"/>
  <c r="AA172" i="2"/>
  <c r="Z52" i="2"/>
  <c r="AA52" i="2"/>
  <c r="AC151" i="1"/>
  <c r="AD151" i="1"/>
  <c r="AD155" i="1"/>
  <c r="AC155" i="1"/>
  <c r="AD104" i="1"/>
  <c r="AC104" i="1"/>
  <c r="Z40" i="2"/>
  <c r="AA40" i="2"/>
  <c r="Z226" i="2"/>
  <c r="AA226" i="2"/>
  <c r="AC78" i="1"/>
  <c r="AD78" i="1"/>
  <c r="AD74" i="1"/>
  <c r="AC74" i="1"/>
  <c r="Z56" i="2"/>
  <c r="AA56" i="2"/>
  <c r="AA46" i="2"/>
  <c r="Z46" i="2"/>
  <c r="Z50" i="2"/>
  <c r="AA50" i="2"/>
  <c r="AA208" i="2"/>
  <c r="Z208" i="2"/>
  <c r="AC148" i="1"/>
  <c r="AD148" i="1"/>
  <c r="AA210" i="2"/>
  <c r="Z210" i="2"/>
  <c r="Z215" i="2"/>
  <c r="AA215" i="2"/>
  <c r="AA220" i="2"/>
  <c r="Z220" i="2"/>
  <c r="Z144" i="2"/>
  <c r="AA144" i="2"/>
  <c r="AA145" i="2"/>
  <c r="Z145" i="2"/>
  <c r="AC32" i="1"/>
  <c r="AD32" i="1"/>
  <c r="AD28" i="1"/>
  <c r="AC28" i="1"/>
  <c r="AA30" i="2"/>
  <c r="Z30" i="2"/>
  <c r="AA229" i="2"/>
  <c r="Z229" i="2"/>
  <c r="AD163" i="1"/>
  <c r="AC163" i="1"/>
  <c r="AD85" i="1"/>
  <c r="AC85" i="1"/>
  <c r="AA112" i="2"/>
  <c r="Z112" i="2"/>
  <c r="AA110" i="2"/>
  <c r="Z110" i="2"/>
  <c r="AC70" i="1"/>
  <c r="AD70" i="1"/>
  <c r="AA141" i="2"/>
  <c r="Z141" i="2"/>
  <c r="Z182" i="2"/>
  <c r="AA182" i="2"/>
  <c r="Z131" i="2"/>
  <c r="AA131" i="2"/>
  <c r="AA81" i="2"/>
  <c r="Z81" i="2"/>
  <c r="Z74" i="2"/>
  <c r="AA74" i="2"/>
  <c r="AC52" i="1"/>
  <c r="AD52" i="1"/>
  <c r="Z17" i="2"/>
  <c r="AA17" i="2"/>
  <c r="Z19" i="2"/>
  <c r="AA19" i="2"/>
  <c r="AD132" i="1"/>
  <c r="AC132" i="1"/>
  <c r="AC127" i="1"/>
  <c r="AD127" i="1"/>
  <c r="AD64" i="1"/>
  <c r="AC64" i="1"/>
  <c r="AC68" i="1"/>
  <c r="AD68" i="1"/>
  <c r="AA89" i="2"/>
  <c r="Z89" i="2"/>
  <c r="AA159" i="2"/>
  <c r="Z159" i="2"/>
  <c r="AA165" i="2"/>
  <c r="Z165" i="2"/>
  <c r="AD45" i="1"/>
  <c r="AC45" i="1"/>
  <c r="Z69" i="2"/>
  <c r="AA69" i="2"/>
  <c r="Z43" i="2"/>
  <c r="AA43" i="2"/>
  <c r="B27" i="4"/>
  <c r="C27" i="4" s="1"/>
  <c r="E27" i="4" s="1"/>
  <c r="AD149" i="1"/>
  <c r="AC149" i="1"/>
  <c r="AA31" i="2"/>
  <c r="Z31" i="2"/>
  <c r="AC161" i="1"/>
  <c r="AD161" i="1"/>
  <c r="AC76" i="1"/>
  <c r="AD76" i="1"/>
  <c r="AA169" i="2"/>
  <c r="Z169" i="2"/>
  <c r="Z54" i="2"/>
  <c r="AA54" i="2"/>
  <c r="Z58" i="2"/>
  <c r="AA58" i="2"/>
  <c r="Z59" i="2"/>
  <c r="AA59" i="2"/>
  <c r="AA202" i="2"/>
  <c r="Z202" i="2"/>
  <c r="AA203" i="2"/>
  <c r="Z203" i="2"/>
  <c r="AD158" i="1"/>
  <c r="AC158" i="1"/>
  <c r="AA222" i="2"/>
  <c r="Z222" i="2"/>
  <c r="AC153" i="1"/>
  <c r="AD153" i="1"/>
  <c r="Z151" i="2"/>
  <c r="AA151" i="2"/>
  <c r="Z146" i="2"/>
  <c r="AA146" i="2"/>
  <c r="AA42" i="2"/>
  <c r="Z42" i="2"/>
  <c r="AA32" i="2"/>
  <c r="Z32" i="2"/>
  <c r="AA29" i="2"/>
  <c r="Z29" i="2"/>
  <c r="AC162" i="1"/>
  <c r="AD162" i="1"/>
  <c r="AA228" i="2"/>
  <c r="Z228" i="2"/>
  <c r="AA122" i="2"/>
  <c r="Z122" i="2"/>
  <c r="AD83" i="1"/>
  <c r="AC83" i="1"/>
  <c r="Z107" i="2"/>
  <c r="AA107" i="2"/>
  <c r="Z105" i="2"/>
  <c r="AA105" i="2"/>
  <c r="Z139" i="2"/>
  <c r="AA139" i="2"/>
  <c r="AC95" i="1"/>
  <c r="AD95" i="1"/>
  <c r="AA181" i="2"/>
  <c r="Z181" i="2"/>
  <c r="AD93" i="1"/>
  <c r="AC93" i="1"/>
  <c r="AD92" i="1"/>
  <c r="AC92" i="1"/>
  <c r="AD46" i="1"/>
  <c r="AC46" i="1"/>
  <c r="AC53" i="1"/>
  <c r="AD53" i="1"/>
  <c r="AC19" i="1"/>
  <c r="AD19" i="1"/>
  <c r="Z15" i="2"/>
  <c r="AA15" i="2"/>
  <c r="AC130" i="1"/>
  <c r="AD130" i="1"/>
  <c r="AD124" i="1"/>
  <c r="AC124" i="1"/>
  <c r="AD67" i="1"/>
  <c r="AC67" i="1"/>
  <c r="AC66" i="1"/>
  <c r="AD66" i="1"/>
  <c r="Z103" i="2"/>
  <c r="AA103" i="2"/>
  <c r="AD120" i="1"/>
  <c r="AC120" i="1"/>
  <c r="AD116" i="1"/>
  <c r="AC116" i="1"/>
  <c r="AA63" i="2"/>
  <c r="Z63" i="2"/>
  <c r="AC43" i="1"/>
  <c r="AD43" i="1"/>
  <c r="Z201" i="2"/>
  <c r="AA201" i="2"/>
  <c r="AD27" i="1"/>
  <c r="AC27" i="1"/>
  <c r="AC86" i="1"/>
  <c r="AD86" i="1"/>
  <c r="AA106" i="2"/>
  <c r="Z106" i="2"/>
  <c r="AA138" i="2"/>
  <c r="Z138" i="2"/>
  <c r="AA129" i="2"/>
  <c r="Z129" i="2"/>
  <c r="AC58" i="1"/>
  <c r="AD58" i="1"/>
  <c r="AA80" i="2"/>
  <c r="Z80" i="2"/>
  <c r="W239" i="2"/>
  <c r="W240" i="2" s="1"/>
  <c r="S241" i="2"/>
  <c r="B19" i="4"/>
  <c r="C17" i="4"/>
  <c r="C7" i="4"/>
  <c r="B9" i="4"/>
  <c r="J23" i="5" l="1"/>
  <c r="T23" i="5"/>
  <c r="U23" i="5" s="1"/>
  <c r="W36" i="3"/>
  <c r="V36" i="3"/>
  <c r="V35" i="3"/>
  <c r="W35" i="3"/>
  <c r="V31" i="3"/>
  <c r="W31" i="3"/>
  <c r="J24" i="5"/>
  <c r="T24" i="5"/>
  <c r="U24" i="5" s="1"/>
  <c r="W32" i="3"/>
  <c r="V32" i="3"/>
  <c r="W33" i="3"/>
  <c r="V33" i="3"/>
  <c r="J17" i="5"/>
  <c r="T17" i="5"/>
  <c r="U17" i="5" s="1"/>
  <c r="J19" i="5"/>
  <c r="T19" i="5"/>
  <c r="U19" i="5" s="1"/>
  <c r="J21" i="5"/>
  <c r="T21" i="5"/>
  <c r="U21" i="5" s="1"/>
  <c r="W30" i="3"/>
  <c r="V30" i="3"/>
  <c r="V38" i="3" s="1"/>
  <c r="V39" i="3" s="1"/>
  <c r="U38" i="3"/>
  <c r="U39" i="3" s="1"/>
  <c r="W34" i="3"/>
  <c r="V34" i="3"/>
  <c r="J14" i="5"/>
  <c r="J29" i="5" s="1"/>
  <c r="N30" i="5" s="1"/>
  <c r="T14" i="5"/>
  <c r="U14" i="5" s="1"/>
  <c r="H29" i="5"/>
  <c r="T29" i="5" s="1"/>
  <c r="B25" i="4"/>
  <c r="W226" i="1"/>
  <c r="W227" i="1" s="1"/>
  <c r="AA238" i="2"/>
  <c r="AA239" i="2" s="1"/>
  <c r="AA240" i="2" s="1"/>
  <c r="V228" i="1"/>
  <c r="X228" i="1" s="1"/>
  <c r="AC224" i="1"/>
  <c r="AC225" i="1" s="1"/>
  <c r="AC226" i="1" s="1"/>
  <c r="B26" i="4"/>
  <c r="C26" i="4" s="1"/>
  <c r="E26" i="4" s="1"/>
  <c r="T240" i="2"/>
  <c r="T241" i="2" s="1"/>
  <c r="AD224" i="1"/>
  <c r="AD225" i="1" s="1"/>
  <c r="AD226" i="1" s="1"/>
  <c r="Z238" i="2"/>
  <c r="Z239" i="2" s="1"/>
  <c r="Z240" i="2" s="1"/>
  <c r="E17" i="4"/>
  <c r="E19" i="4" s="1"/>
  <c r="E21" i="4" s="1"/>
  <c r="C19" i="4"/>
  <c r="E7" i="4"/>
  <c r="E9" i="4" s="1"/>
  <c r="E11" i="4" s="1"/>
  <c r="C9" i="4"/>
  <c r="U29" i="5" l="1"/>
  <c r="U30" i="5" s="1"/>
  <c r="W38" i="3"/>
  <c r="W39" i="3" s="1"/>
  <c r="V230" i="1"/>
  <c r="W228" i="1"/>
  <c r="W230" i="1" s="1"/>
  <c r="C25" i="4"/>
  <c r="B28" i="4"/>
  <c r="X230" i="1" l="1"/>
  <c r="C28" i="4"/>
  <c r="E25" i="4"/>
  <c r="E28" i="4" s="1"/>
  <c r="E30" i="4" s="1"/>
</calcChain>
</file>

<file path=xl/sharedStrings.xml><?xml version="1.0" encoding="utf-8"?>
<sst xmlns="http://schemas.openxmlformats.org/spreadsheetml/2006/main" count="1309" uniqueCount="512">
  <si>
    <t>Для малокомплектных общеобразовательных школ</t>
  </si>
  <si>
    <t>Бюджетная услуга</t>
  </si>
  <si>
    <t>Расчет базового норматива</t>
  </si>
  <si>
    <t>Количество месяцев</t>
  </si>
  <si>
    <t>Наполняемость классов</t>
  </si>
  <si>
    <t xml:space="preserve">Начисления на выплаты по оплате труда </t>
  </si>
  <si>
    <t xml:space="preserve"> Значение норматива 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</si>
  <si>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</si>
  <si>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</si>
  <si>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</si>
  <si>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стимулирующие</t>
  </si>
  <si>
    <t>Коэфициент сложности предмета</t>
  </si>
  <si>
    <t>Часы по учебному плану</t>
  </si>
  <si>
    <t>Количество ставок на 1 класс в зависимости от часов учебной нагрузки</t>
  </si>
  <si>
    <t>НОШ</t>
  </si>
  <si>
    <t>ООШ</t>
  </si>
  <si>
    <t>СОШ</t>
  </si>
  <si>
    <t>ФОТ учителей по нормативу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</si>
  <si>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</si>
  <si>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</si>
  <si>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</si>
  <si>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</si>
  <si>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</si>
  <si>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</si>
  <si>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</si>
  <si>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</si>
  <si>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</si>
  <si>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</si>
  <si>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</si>
  <si>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</si>
  <si>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</si>
  <si>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</si>
  <si>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</si>
  <si>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</si>
  <si>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</t>
  </si>
  <si>
    <t>Селенгинский</t>
  </si>
  <si>
    <t>Тарбагатайский</t>
  </si>
  <si>
    <t>Тункинский</t>
  </si>
  <si>
    <t>Хоринский</t>
  </si>
  <si>
    <t>Хилганайская СОШ</t>
  </si>
  <si>
    <t>Сувинская  СОШ</t>
  </si>
  <si>
    <t>Юбилейная СОШ</t>
  </si>
  <si>
    <t>Читканская СОШ</t>
  </si>
  <si>
    <t>Адамовская ООШ</t>
  </si>
  <si>
    <t>Улюкчиканская ООШ</t>
  </si>
  <si>
    <t>Гусихинская ООШ</t>
  </si>
  <si>
    <t>Максимихинская НОШ</t>
  </si>
  <si>
    <t>Уржильская НОШ</t>
  </si>
  <si>
    <t>Карасунская НОШ-С</t>
  </si>
  <si>
    <t>Усть - Джилиндинская ООШ</t>
  </si>
  <si>
    <t>Россошинская НОШ</t>
  </si>
  <si>
    <t>Уакитская СОШ</t>
  </si>
  <si>
    <t>Северная СОШ</t>
  </si>
  <si>
    <t>Хонхолойская НОШ</t>
  </si>
  <si>
    <t>Дабатуйская НОШ</t>
  </si>
  <si>
    <t>Узко-Лугская НОШ</t>
  </si>
  <si>
    <t>Топкинская НОШ</t>
  </si>
  <si>
    <t>БСШ №4 СОШ</t>
  </si>
  <si>
    <t>БСШ №5 СОШ</t>
  </si>
  <si>
    <t>Буйская  СОШ</t>
  </si>
  <si>
    <t>Еланская СОШ</t>
  </si>
  <si>
    <t>Новосретенская  СОШ</t>
  </si>
  <si>
    <t>Киретская СОШ</t>
  </si>
  <si>
    <t>Билютайская ООШ</t>
  </si>
  <si>
    <t>Гочитская СОШ</t>
  </si>
  <si>
    <t>Посельская СОШ</t>
  </si>
  <si>
    <t>Верхне-Мангиртуйская ООШ</t>
  </si>
  <si>
    <t>Харлунская НОШ с 01.12.11</t>
  </si>
  <si>
    <t>Зарубинская ООШ</t>
  </si>
  <si>
    <t>Боргойская CОШ</t>
  </si>
  <si>
    <t>Желтуринская CОШ</t>
  </si>
  <si>
    <t>Цаган-Усунская ООШ</t>
  </si>
  <si>
    <t>Нюгуйская ф</t>
  </si>
  <si>
    <t>Армакская СОШ</t>
  </si>
  <si>
    <t>Алцакская ООШ</t>
  </si>
  <si>
    <t>Нижне-Бургалтайская СОШ</t>
  </si>
  <si>
    <t>Боцинская СОШ</t>
  </si>
  <si>
    <t>Енхорская СОШ</t>
  </si>
  <si>
    <t>Цагатуйская СОШ</t>
  </si>
  <si>
    <t>Больше-Нарынская СОШ</t>
  </si>
  <si>
    <t>Нижне-Ичетуйская НОШ</t>
  </si>
  <si>
    <t>Инзагатуйская СОШ</t>
  </si>
  <si>
    <t>Гэгэтуйская СОШ</t>
  </si>
  <si>
    <t xml:space="preserve">Оерская СОШ </t>
  </si>
  <si>
    <t>Тохойская ф</t>
  </si>
  <si>
    <t>Верхне-Торейская СОШ</t>
  </si>
  <si>
    <t>Попереченская ООШ</t>
  </si>
  <si>
    <t>Ульдургинская СОШ</t>
  </si>
  <si>
    <t>Тужинкинская СОШ</t>
  </si>
  <si>
    <t>Можайская СОШ</t>
  </si>
  <si>
    <t>Комсомольская СОШ</t>
  </si>
  <si>
    <t>Тулдунская СОШ</t>
  </si>
  <si>
    <t>Ширингинская СОШ</t>
  </si>
  <si>
    <t>Гундинская СОШ</t>
  </si>
  <si>
    <t>Озерная СОШ</t>
  </si>
  <si>
    <t>Целинная СОШ</t>
  </si>
  <si>
    <t>Арбижильская НОШ</t>
  </si>
  <si>
    <t>Усть-Эрийская НОШ</t>
  </si>
  <si>
    <t>Нарынская НОШ Заигр</t>
  </si>
  <si>
    <t>Ново-Курбинская ООШ</t>
  </si>
  <si>
    <t>Старо-Онохойская ООШ</t>
  </si>
  <si>
    <t>Октябрьская ООШ</t>
  </si>
  <si>
    <t>Челутаевская №1 СОШ</t>
  </si>
  <si>
    <t>Первомаевская СОШ</t>
  </si>
  <si>
    <t>Ново-Горхонская СОШ</t>
  </si>
  <si>
    <t>Ташеланская СОШ</t>
  </si>
  <si>
    <t>Старобрянская СОШ</t>
  </si>
  <si>
    <t>Старокурбинская ООШ</t>
  </si>
  <si>
    <t>Хужирская НОШ-с</t>
  </si>
  <si>
    <t>Усть-Бургалтайская СОШ</t>
  </si>
  <si>
    <t>Нуртинская СОШ</t>
  </si>
  <si>
    <t>Баянгольская СОШ</t>
  </si>
  <si>
    <t>Бортойская СОШ</t>
  </si>
  <si>
    <t>Бургуйская СОШ</t>
  </si>
  <si>
    <t>Дабатуйская СОШ</t>
  </si>
  <si>
    <t>Дутулурская СОШ</t>
  </si>
  <si>
    <t>Енгорбойская СОШ</t>
  </si>
  <si>
    <t>Ехе-Цакирская СОШ</t>
  </si>
  <si>
    <t>Мылинская СОШ</t>
  </si>
  <si>
    <t>Утатуйская СОШ</t>
  </si>
  <si>
    <t>Улентуйская СОШ</t>
  </si>
  <si>
    <t>Холтосонская СОШ</t>
  </si>
  <si>
    <t>Хуртагинская СОШ</t>
  </si>
  <si>
    <t>Хамнейская СОШ</t>
  </si>
  <si>
    <t>Харацайская СОШ</t>
  </si>
  <si>
    <t>Шара-Азаргинская СОШ</t>
  </si>
  <si>
    <t>Цакирская СОШ</t>
  </si>
  <si>
    <t>Цаган-Моринская СОШ</t>
  </si>
  <si>
    <t>Ошурковская НОШ</t>
  </si>
  <si>
    <t>Кибалинская ООШ</t>
  </si>
  <si>
    <t>Краснояровская ООШ</t>
  </si>
  <si>
    <t>Колобковская ООШ</t>
  </si>
  <si>
    <t>Тапхарская СОШ</t>
  </si>
  <si>
    <t>Верхне-Иволгинская СОШ</t>
  </si>
  <si>
    <t>Каленовская СОШ</t>
  </si>
  <si>
    <t>Ганзуринская СОШ</t>
  </si>
  <si>
    <t>Ранжуровская НОШ</t>
  </si>
  <si>
    <t>Истоминская НОШ</t>
  </si>
  <si>
    <t>Закалтусная НОШ</t>
  </si>
  <si>
    <t>Еланская НОШ-сад</t>
  </si>
  <si>
    <t>Хандалинская НОШ</t>
  </si>
  <si>
    <t>Нюкская ООШ</t>
  </si>
  <si>
    <t>Степно-Дворецкая ООШ</t>
  </si>
  <si>
    <t>Красно-Ярская СОШ</t>
  </si>
  <si>
    <t>Шергинская СОШ</t>
  </si>
  <si>
    <t xml:space="preserve">Посольская СОШ </t>
  </si>
  <si>
    <t>Клюевская СОШ</t>
  </si>
  <si>
    <t>Сухинская СОШ</t>
  </si>
  <si>
    <t>Корсаковская СОШ</t>
  </si>
  <si>
    <t>Колесовская СОШ</t>
  </si>
  <si>
    <t>Куоркинская НОШ</t>
  </si>
  <si>
    <t>Ушхайтинская НОШ</t>
  </si>
  <si>
    <t>Кодунская СОШ</t>
  </si>
  <si>
    <t>Оротская СОШ</t>
  </si>
  <si>
    <t>Верхнекижингинская СОШ</t>
  </si>
  <si>
    <t>Верхнекодунская СОШ</t>
  </si>
  <si>
    <t>Леоновская СОШ</t>
  </si>
  <si>
    <t>Могсохонская СОШ</t>
  </si>
  <si>
    <t>Сулхаринская СОШ</t>
  </si>
  <si>
    <t>Ульзытуйкая СОШ</t>
  </si>
  <si>
    <t>Усть-Оротская СОШ</t>
  </si>
  <si>
    <t>Хуртэйская СОШ</t>
  </si>
  <si>
    <t>Аргадинская СОШ</t>
  </si>
  <si>
    <t>Гаргинская СОШ</t>
  </si>
  <si>
    <t xml:space="preserve">Дыренская СОШ </t>
  </si>
  <si>
    <t>Сахулинская СОШ</t>
  </si>
  <si>
    <t>Улюнханская СОШ</t>
  </si>
  <si>
    <t>Элысунская ООШ</t>
  </si>
  <si>
    <t>Убур-киреть НОШ</t>
  </si>
  <si>
    <t>Баин-булаг ООШ</t>
  </si>
  <si>
    <t>Субуктуй ООШ</t>
  </si>
  <si>
    <t>Алтайская СОШ</t>
  </si>
  <si>
    <t>Шарагольская СОШ</t>
  </si>
  <si>
    <t>Малокударинская СОШ</t>
  </si>
  <si>
    <t>Унгуркуйская ООШ + ф</t>
  </si>
  <si>
    <t>Чикойская  СОШ</t>
  </si>
  <si>
    <t>Энхэ-Талинская ООШ</t>
  </si>
  <si>
    <t>Большелугской СОШ + ф</t>
  </si>
  <si>
    <t>Новодесятниковская ООШ ф</t>
  </si>
  <si>
    <t>Мурочинская ООШ</t>
  </si>
  <si>
    <t>МОУ Усть-Муйская СОШ</t>
  </si>
  <si>
    <t>МОУ Иракиндинская СОШ</t>
  </si>
  <si>
    <t>Подлопатинская СОШ</t>
  </si>
  <si>
    <t>Кусотинская  СОШ</t>
  </si>
  <si>
    <t>Галтайская СОШ</t>
  </si>
  <si>
    <t>Тугнуйская СОШ</t>
  </si>
  <si>
    <t>Хошун-Узурская СОШ</t>
  </si>
  <si>
    <t>Гашейская СОШ</t>
  </si>
  <si>
    <t>Сутайская ООШ</t>
  </si>
  <si>
    <t>Бомская СОШ</t>
  </si>
  <si>
    <t>Барская ООШ</t>
  </si>
  <si>
    <t>Калиновская СОШ</t>
  </si>
  <si>
    <t>Хара-хужирская НОШ-сад</t>
  </si>
  <si>
    <t>Балактинская НОШ-сад</t>
  </si>
  <si>
    <t>Боксонская НОШ-сад ф</t>
  </si>
  <si>
    <t>Саянская СОШ</t>
  </si>
  <si>
    <t>Бурунгольская СОШ</t>
  </si>
  <si>
    <t>Золотоключевская НОШ</t>
  </si>
  <si>
    <t>Покровская НОШ Приб</t>
  </si>
  <si>
    <t>Кикинская ООШ</t>
  </si>
  <si>
    <t>Мостовская ООШ</t>
  </si>
  <si>
    <t>Ильинская тубсан ООШ</t>
  </si>
  <si>
    <t>Горячинская СОШ</t>
  </si>
  <si>
    <t>Нестеровская СОШ</t>
  </si>
  <si>
    <t>Байкальская СОШ</t>
  </si>
  <si>
    <t>Верхнезаимская СОШ</t>
  </si>
  <si>
    <t>Верхнеангарская СОШ</t>
  </si>
  <si>
    <t>Киндигирская ООШ</t>
  </si>
  <si>
    <t>Ангоянская СОШ</t>
  </si>
  <si>
    <t>Янчуканская СОШ ф Н-Уоян</t>
  </si>
  <si>
    <t>Селен-Енхорская НОШ</t>
  </si>
  <si>
    <t>Ардасанская НОШ</t>
  </si>
  <si>
    <t>Усть-Урминская НОШ</t>
  </si>
  <si>
    <t>Средне-Убукунская ООШ</t>
  </si>
  <si>
    <t>Таежная ООШ</t>
  </si>
  <si>
    <t>Ехэ-Цаганская ООШ</t>
  </si>
  <si>
    <t>Сутойская НОШ</t>
  </si>
  <si>
    <t>Жаргалантуйская ООШ</t>
  </si>
  <si>
    <t>Иройская  СОШ</t>
  </si>
  <si>
    <t>Ацульская СОШ</t>
  </si>
  <si>
    <t>Баратуйская ООШ</t>
  </si>
  <si>
    <t>Ноехонская СОШ</t>
  </si>
  <si>
    <t>Убур-Дзокойская ООШ</t>
  </si>
  <si>
    <t>Новоселенг инская СОШ</t>
  </si>
  <si>
    <t>Верхнесаянтуйская НОШ</t>
  </si>
  <si>
    <t>Пестерёвская ООШ</t>
  </si>
  <si>
    <t>Надеинская НОШ</t>
  </si>
  <si>
    <t>Нижнежиримская ООШ</t>
  </si>
  <si>
    <t>Большекуналейская СОШ</t>
  </si>
  <si>
    <t>Десятниковская СОШ</t>
  </si>
  <si>
    <t>Куйтунская ООШ</t>
  </si>
  <si>
    <t>Верхнежиримская СОШ</t>
  </si>
  <si>
    <t>Барыкинская ООШ</t>
  </si>
  <si>
    <t>Шулутовская НОШ-С</t>
  </si>
  <si>
    <t>Гужирская НОШ-С</t>
  </si>
  <si>
    <t>Еловская НОШ-С</t>
  </si>
  <si>
    <t>Тальская НОШ-С</t>
  </si>
  <si>
    <t>Нуганская НОШ-С</t>
  </si>
  <si>
    <t>Тагархайская НОШ-С</t>
  </si>
  <si>
    <t>Ахаликская ООШ</t>
  </si>
  <si>
    <t>Галбайская ООШ с 01.09.12</t>
  </si>
  <si>
    <t>Туранская СОШ</t>
  </si>
  <si>
    <t>Хойтогольская СОШ</t>
  </si>
  <si>
    <t>Хужирская ООШ</t>
  </si>
  <si>
    <t>Харбятская ООШ</t>
  </si>
  <si>
    <t>Охоршибирьская ООШ</t>
  </si>
  <si>
    <t>Далахайская ООШ</t>
  </si>
  <si>
    <t>Толтойская СОШ</t>
  </si>
  <si>
    <t>Анинская НОШ</t>
  </si>
  <si>
    <t>Баян-Гольская ООШ</t>
  </si>
  <si>
    <t>Георгиевская СОШ</t>
  </si>
  <si>
    <t>Санномысская СОШ</t>
  </si>
  <si>
    <t>Удинская СОШ</t>
  </si>
  <si>
    <t>Хасуртайская СОШ</t>
  </si>
  <si>
    <t>Аланская СОШ</t>
  </si>
  <si>
    <t>Хандагайская  ООШ</t>
  </si>
  <si>
    <t>Тохорюктинская СОШ</t>
  </si>
  <si>
    <t>Майлинская ООШ</t>
  </si>
  <si>
    <t>Булумская СОШ</t>
  </si>
  <si>
    <t>Амгалантинская НОШ</t>
  </si>
  <si>
    <t>Зун-Хурайская ООШ</t>
  </si>
  <si>
    <t>ФОТ учителей по старым нормативам по уч/ч (тарификация)</t>
  </si>
  <si>
    <t>Отклонение</t>
  </si>
  <si>
    <t>у</t>
  </si>
  <si>
    <t>Наименование района</t>
  </si>
  <si>
    <t>Наименование организации</t>
  </si>
  <si>
    <t>плюсы</t>
  </si>
  <si>
    <t>минусы</t>
  </si>
  <si>
    <t>Итого</t>
  </si>
  <si>
    <t>РК,СН</t>
  </si>
  <si>
    <t>Оклад педагогов</t>
  </si>
  <si>
    <t>Классы-комплекты</t>
  </si>
  <si>
    <t>Всего</t>
  </si>
  <si>
    <t>Количество детей</t>
  </si>
  <si>
    <t>Сельские</t>
  </si>
  <si>
    <t>г.Северобайкальск</t>
  </si>
  <si>
    <t>г.Улан-Удэ</t>
  </si>
  <si>
    <t>Усть-Баргузинская СОШ</t>
  </si>
  <si>
    <t>Баргузинская СОШ</t>
  </si>
  <si>
    <t>Улюнская СОШ</t>
  </si>
  <si>
    <t>Уринская СОШ</t>
  </si>
  <si>
    <t>Витимская СОШ</t>
  </si>
  <si>
    <t>Маловская СОШ</t>
  </si>
  <si>
    <t>Багдаринская СОШ</t>
  </si>
  <si>
    <t>БСш №1 СОШ</t>
  </si>
  <si>
    <t>БСШ №2 СОШ</t>
  </si>
  <si>
    <t>БСШ №3 СОШ</t>
  </si>
  <si>
    <t>Мало-Куналейская  СОШ</t>
  </si>
  <si>
    <t>Окино-Ключевская СОШ</t>
  </si>
  <si>
    <t>Потанинская СОШ</t>
  </si>
  <si>
    <t>Шибертуйская СОШ</t>
  </si>
  <si>
    <t>ПСШ №1 СОШ</t>
  </si>
  <si>
    <t xml:space="preserve">Белоозерская СОШ </t>
  </si>
  <si>
    <t>Булыкская СОШ</t>
  </si>
  <si>
    <t xml:space="preserve">Нижне-Торейская СОШ </t>
  </si>
  <si>
    <t>Верхне-Ичетуйская СОШ</t>
  </si>
  <si>
    <t>Дырестуйская СОШ</t>
  </si>
  <si>
    <t>Гимназия СОШ</t>
  </si>
  <si>
    <t>Джидинская СОШ</t>
  </si>
  <si>
    <t>Усть-Эгитуйская СОШ</t>
  </si>
  <si>
    <t>Сосново-Озерская СОШ №1</t>
  </si>
  <si>
    <t>Сосново-Озерская СОШ №2</t>
  </si>
  <si>
    <t>Исингинская СОШ</t>
  </si>
  <si>
    <t>Телембинская СОШ</t>
  </si>
  <si>
    <t>Челутаевская №2 ООШ</t>
  </si>
  <si>
    <t>Ключевская  СОШ</t>
  </si>
  <si>
    <t>Эрхирикская СОШ</t>
  </si>
  <si>
    <t>Унэгэтэйская СОШ</t>
  </si>
  <si>
    <t>Новоильинский СОШ-Л</t>
  </si>
  <si>
    <t>Илькинская СОШ</t>
  </si>
  <si>
    <t>Усть-Брянская ООШ</t>
  </si>
  <si>
    <t>Шпалозаводская СОШ</t>
  </si>
  <si>
    <t>Талецкая СОШ</t>
  </si>
  <si>
    <t>Ацагатская СОШ</t>
  </si>
  <si>
    <t>Шабурская СОШ</t>
  </si>
  <si>
    <t>Новобрянская СОШ</t>
  </si>
  <si>
    <t>Горхонская № 73 СОШ</t>
  </si>
  <si>
    <t>Онохойская НОШ-С"Белочка"</t>
  </si>
  <si>
    <t>Ново-Онохойская ООШ</t>
  </si>
  <si>
    <t>Заиграевская СОШ</t>
  </si>
  <si>
    <t>Онохойская № 2 СОШ</t>
  </si>
  <si>
    <t>Онохойская № 1 СОШ</t>
  </si>
  <si>
    <t>Михайловская СОШ</t>
  </si>
  <si>
    <t>Санагинская СОШ</t>
  </si>
  <si>
    <t>Улекчинская СОШ</t>
  </si>
  <si>
    <t>Закаменская СОШ-1</t>
  </si>
  <si>
    <t>Закаменская СОШ №4</t>
  </si>
  <si>
    <t>Закаменская СОШ № 5</t>
  </si>
  <si>
    <t>Посельская НОШ</t>
  </si>
  <si>
    <t>Иволгинская СОШ</t>
  </si>
  <si>
    <t>Сотниковская СОШ</t>
  </si>
  <si>
    <t>Оронгойская СОШ</t>
  </si>
  <si>
    <t>Гильбиринская СОШ</t>
  </si>
  <si>
    <t>Нижне-Иволгинская СОШ</t>
  </si>
  <si>
    <t>Сужинская СОШ</t>
  </si>
  <si>
    <t>Гурульбинская СОШ</t>
  </si>
  <si>
    <t>Брянская СОШ</t>
  </si>
  <si>
    <t>Шигаевская СОШ</t>
  </si>
  <si>
    <t>Оймурская СОШ</t>
  </si>
  <si>
    <t>Больше-Реченская СОШ</t>
  </si>
  <si>
    <t>Кабанская СОШ</t>
  </si>
  <si>
    <t>Выдринская СОШ</t>
  </si>
  <si>
    <t xml:space="preserve">Байкало-Кударинская СОШ </t>
  </si>
  <si>
    <t>Каменская СОШ №2</t>
  </si>
  <si>
    <t>Селенгинская СОШ № 1</t>
  </si>
  <si>
    <t>Селенгинская СОШ-Г</t>
  </si>
  <si>
    <t>Селенгинская СОШ №2</t>
  </si>
  <si>
    <t>Каменский лицей</t>
  </si>
  <si>
    <t>Мысовская № 56 СОШ</t>
  </si>
  <si>
    <t>Кижингинский лицей СОШ</t>
  </si>
  <si>
    <t>Кижингинский  СОШ № 1</t>
  </si>
  <si>
    <t>Новокижингинская СОШ</t>
  </si>
  <si>
    <t>Чесанская СОШ</t>
  </si>
  <si>
    <t>Барагханская СОШ</t>
  </si>
  <si>
    <t xml:space="preserve">Курумканская СОШ №1 </t>
  </si>
  <si>
    <t>Курумканская СОШ №2</t>
  </si>
  <si>
    <t>Майская СОШ</t>
  </si>
  <si>
    <t>Могойтинская СОШ</t>
  </si>
  <si>
    <t>Хоронхойская  СОШ</t>
  </si>
  <si>
    <t>Тамирская СОШ</t>
  </si>
  <si>
    <t>БольшеКударинская СОШ</t>
  </si>
  <si>
    <t>Кудара-Сомонская СОШ</t>
  </si>
  <si>
    <t>Усть-Кяхтинская СОШ</t>
  </si>
  <si>
    <t xml:space="preserve">Усть-Киранская СОШ </t>
  </si>
  <si>
    <t>Адаптивная СОШ</t>
  </si>
  <si>
    <t>Наушкинская СОШ</t>
  </si>
  <si>
    <t>СШ №1 СОШ</t>
  </si>
  <si>
    <t>СШ №2 СОШ</t>
  </si>
  <si>
    <t>СШ №3 СОШ</t>
  </si>
  <si>
    <t>СШ №4 СОШ</t>
  </si>
  <si>
    <t>МОУ Таксимовская СОШ №1</t>
  </si>
  <si>
    <t>МОУ Таксимовская СОШ №3</t>
  </si>
  <si>
    <t>МОУ Северомуйская СОШ</t>
  </si>
  <si>
    <t>МСШ № 1 СОШ</t>
  </si>
  <si>
    <t>МСШ № 2 СОШ</t>
  </si>
  <si>
    <t>Саган-Нурская СОШ</t>
  </si>
  <si>
    <t>Ново-Заганская СОШ</t>
  </si>
  <si>
    <t>Хонхолойская СОШ</t>
  </si>
  <si>
    <t>Цолгинская СОШ</t>
  </si>
  <si>
    <t>Никольская СОШ</t>
  </si>
  <si>
    <t>Харашибирская СОШ</t>
  </si>
  <si>
    <t>Шаралдайская СОШ</t>
  </si>
  <si>
    <t>Орликская СОШ</t>
  </si>
  <si>
    <t>Туркинская СОШ</t>
  </si>
  <si>
    <t>Гремячинская СОШ</t>
  </si>
  <si>
    <t>Зырянская СОШ</t>
  </si>
  <si>
    <t>Турунтаевская СОШ № 1</t>
  </si>
  <si>
    <t>Турунтаевская гимназия</t>
  </si>
  <si>
    <t>Коменская СОШ</t>
  </si>
  <si>
    <t>Старо-татауровская СОШ</t>
  </si>
  <si>
    <t>Татауровская СОШ</t>
  </si>
  <si>
    <t>Ильинская СОШ</t>
  </si>
  <si>
    <t>Таловская СОШ</t>
  </si>
  <si>
    <t>Нижнеангарская СОШ</t>
  </si>
  <si>
    <t>Новоуоянская СОШ</t>
  </si>
  <si>
    <t>Кичерская СОШ</t>
  </si>
  <si>
    <t>Харганатская СОШ</t>
  </si>
  <si>
    <t>Загустайская СОШ</t>
  </si>
  <si>
    <t>№ 92 СОШ</t>
  </si>
  <si>
    <t>Селендумская СОШ</t>
  </si>
  <si>
    <t>№ 6 ООШ</t>
  </si>
  <si>
    <t>№ 7 ООШ</t>
  </si>
  <si>
    <t>№ 1 СОШ</t>
  </si>
  <si>
    <t>Гусиноозерская гимназия</t>
  </si>
  <si>
    <t>№ 3 ООШ</t>
  </si>
  <si>
    <t>№ 4 СОШ</t>
  </si>
  <si>
    <t>№ 5 СОШ</t>
  </si>
  <si>
    <t>Вознесеновская НОШ</t>
  </si>
  <si>
    <t>Заводская СОШ</t>
  </si>
  <si>
    <t>Тарбагатайская СОШ</t>
  </si>
  <si>
    <t>Селенгинская СОШ</t>
  </si>
  <si>
    <t>Нижнесаянтуйская СОШ</t>
  </si>
  <si>
    <t>Горхонская СОШ</t>
  </si>
  <si>
    <t>Кыренская СОШ</t>
  </si>
  <si>
    <t>Жемчугская СОШ</t>
  </si>
  <si>
    <t>Торская СОШ</t>
  </si>
  <si>
    <t>Зун-муринская СОШ</t>
  </si>
  <si>
    <t>Мондинская СОШ</t>
  </si>
  <si>
    <t>Тункинская СОШ</t>
  </si>
  <si>
    <t>Аршанская СОШ</t>
  </si>
  <si>
    <t>Хоринская СОШ  №1</t>
  </si>
  <si>
    <t>Хоринская СОШ №2</t>
  </si>
  <si>
    <t>Тэгдинская СОШ</t>
  </si>
  <si>
    <t>В-Талецкая СОШ</t>
  </si>
  <si>
    <t>МОУ СОШ № 1</t>
  </si>
  <si>
    <t>МОУ СОШ № 3</t>
  </si>
  <si>
    <t>МОУ СОШ № 11</t>
  </si>
  <si>
    <t>МОУ гимназия № 5</t>
  </si>
  <si>
    <t>МОУ лицей № 6</t>
  </si>
  <si>
    <t>108 НОШ-сад</t>
  </si>
  <si>
    <t>21 СОШ</t>
  </si>
  <si>
    <t>23 ООШ</t>
  </si>
  <si>
    <t>38 ООШ</t>
  </si>
  <si>
    <t>мгл</t>
  </si>
  <si>
    <t>СЗП по новым нормативам</t>
  </si>
  <si>
    <t>СЗП по старым нормативам</t>
  </si>
  <si>
    <t>Отклонение ФОТ</t>
  </si>
  <si>
    <t>Отклонение СЗП</t>
  </si>
  <si>
    <t>Индивидуальное обучение</t>
  </si>
  <si>
    <t>Дети на индивидуальном обучении</t>
  </si>
  <si>
    <t>потеряли</t>
  </si>
  <si>
    <t>получили</t>
  </si>
  <si>
    <t>ОВЗ, инвалиды</t>
  </si>
  <si>
    <t>из них</t>
  </si>
  <si>
    <t>Кол-во ставок на школу</t>
  </si>
  <si>
    <t>Для вечерних школ</t>
  </si>
  <si>
    <t>Для вечерних школ при ИТУ</t>
  </si>
  <si>
    <t>Кофициент удорожания для школ при ИТУ</t>
  </si>
  <si>
    <t>Джидинская ВСОШ</t>
  </si>
  <si>
    <t>Петропавловская ВСОШ</t>
  </si>
  <si>
    <t>(Заиграевская ОСОШ)</t>
  </si>
  <si>
    <t>Закаменская ВСОШ</t>
  </si>
  <si>
    <t>Иволгинская ВСОШ</t>
  </si>
  <si>
    <t>Курумканская ОСОШ</t>
  </si>
  <si>
    <t>Новоуоянская ВСОШ</t>
  </si>
  <si>
    <t>ВСОШ при ИТУ г.Гус.</t>
  </si>
  <si>
    <t>ВСОШ №1 г.Гус.</t>
  </si>
  <si>
    <t>Кыренская ВСОШ</t>
  </si>
  <si>
    <t>ОСОШ №1</t>
  </si>
  <si>
    <t>ВСОШ №3 при ИТУ</t>
  </si>
  <si>
    <t>ВСОШ №14 при ИТУ</t>
  </si>
  <si>
    <t>УКП при Селенгинский ср.школе</t>
  </si>
  <si>
    <t>Кяхтинская адаптивная</t>
  </si>
  <si>
    <t>УКП Цолгинская СОШ при ИТУ</t>
  </si>
  <si>
    <t>УКП при Турунтаевской СОШ № 1</t>
  </si>
  <si>
    <t>УКП при Заводской</t>
  </si>
  <si>
    <t>УКП при Нижнесаянтуйской</t>
  </si>
  <si>
    <t xml:space="preserve">УКП при Куйтунской </t>
  </si>
  <si>
    <t>УКП пои СОШ №1</t>
  </si>
  <si>
    <t>Коэффициент совмещения</t>
  </si>
  <si>
    <t>Дополнительная потребность без учета коэффициента совмещения</t>
  </si>
  <si>
    <t>Учебные расходы</t>
  </si>
  <si>
    <t>Дополнительная потребность</t>
  </si>
  <si>
    <t>Утверждено в бюджете</t>
  </si>
  <si>
    <t>Расчет по физическим лицам</t>
  </si>
  <si>
    <t>Расчет по ставкам</t>
  </si>
  <si>
    <t>ФОТ учителей по нормативу с учетом коэффициента совмещения</t>
  </si>
  <si>
    <t>дневные</t>
  </si>
  <si>
    <t>малокомплектные</t>
  </si>
  <si>
    <t>вечерние</t>
  </si>
  <si>
    <t>ФОТ учителей по новым нормативам в год</t>
  </si>
  <si>
    <t>ФОТ учителей по новым нормативам с учетом прочего персонала в год</t>
  </si>
  <si>
    <t xml:space="preserve">Объем субвенции по новым нормативам </t>
  </si>
  <si>
    <t>Расчет потребности без коэффициента совмещения</t>
  </si>
  <si>
    <t xml:space="preserve">Отклонение ФОТ </t>
  </si>
  <si>
    <t>Отклонение ФОТ с учетом коэффициента совмещения</t>
  </si>
  <si>
    <t>Расчет потребности с коэффициентом совмещения (1,4)</t>
  </si>
  <si>
    <t>СЗП учителей по новым нормативам</t>
  </si>
  <si>
    <t>СЗП учителей по старым нормативам</t>
  </si>
  <si>
    <t>Контингент на 01.09.2020</t>
  </si>
  <si>
    <t>Итого субвенция по новым нормативам</t>
  </si>
  <si>
    <t>Субвенция с учетом коэффициента совмещения по новым нормативам</t>
  </si>
  <si>
    <t>Утверждено в законе</t>
  </si>
  <si>
    <t>Отклонение (год)</t>
  </si>
  <si>
    <t>Коэфициент совмещения</t>
  </si>
  <si>
    <t>СЗП учителей по новым нормативам с ФОТ уменшеным на коэфф.совм.</t>
  </si>
  <si>
    <t>Расчет потребности с коэффициентом совмещения для каждого района</t>
  </si>
  <si>
    <t>1-4 классы</t>
  </si>
  <si>
    <t>5-9 классы</t>
  </si>
  <si>
    <t>10-11 классы</t>
  </si>
  <si>
    <t>Свод</t>
  </si>
  <si>
    <t>Итого дополнительная потребность</t>
  </si>
  <si>
    <t>СЗП менее 35006 по старой тарификации</t>
  </si>
  <si>
    <t>Дополнительная потребность на доведение до среднего дохода от трудовой деятельности</t>
  </si>
  <si>
    <t>Дополнительная потребность на доведение 35006</t>
  </si>
  <si>
    <t>Для дневных общеобразовательных школ</t>
  </si>
  <si>
    <t>Среднесписочная численность работников по зп-образование за январь-март 2020 года</t>
  </si>
  <si>
    <t>Дополнительная потребность на новый контингент в год.</t>
  </si>
  <si>
    <t>учебные расходы</t>
  </si>
  <si>
    <t>Всего потребность на ФОТ</t>
  </si>
  <si>
    <t>Изменение контингента в 2021-2022 уч. году</t>
  </si>
  <si>
    <t>Изменение контингента в 2020-2021 уч.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</si>
</sst>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\ _₽_-;\-* #,##0.0\ _₽_-;_-* &quot;-&quot;??\ _₽_-;_-@_-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6">
    <xf numFmtId="0" fontId="0" fillId="0" borderId="0" xfId="0"/>
    <xf numFmtId="0" fontId="1" fillId="2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3" fontId="1" fillId="0" borderId="0" xfId="2" applyFont="1" applyAlignment="1">
      <alignment horizontal="center"/>
    </xf>
    <xf numFmtId="43" fontId="1" fillId="0" borderId="0" xfId="2" applyFont="1"/>
    <xf numFmtId="43" fontId="1" fillId="0" borderId="0" xfId="0" applyNumberFormat="1" applyFont="1"/>
    <xf numFmtId="165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3" fontId="1" fillId="0" borderId="0" xfId="2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9" fontId="1" fillId="0" borderId="0" xfId="3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/>
    <xf numFmtId="0" fontId="4" fillId="2" borderId="0" xfId="0" applyFont="1" applyFill="1" applyBorder="1" applyAlignment="1">
      <alignment vertical="center"/>
    </xf>
    <xf numFmtId="166" fontId="1" fillId="0" borderId="0" xfId="2" applyNumberFormat="1" applyFont="1"/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horizontal="left" vertical="center"/>
    </xf>
    <xf numFmtId="167" fontId="1" fillId="0" borderId="6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Alignment="1">
      <alignment horizontal="left"/>
    </xf>
    <xf numFmtId="10" fontId="1" fillId="0" borderId="0" xfId="0" applyNumberFormat="1" applyFont="1"/>
    <xf numFmtId="43" fontId="1" fillId="0" borderId="0" xfId="2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1" fillId="0" borderId="0" xfId="0" applyNumberFormat="1" applyFont="1"/>
    <xf numFmtId="9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Процентный" xfId="3" builtinId="5"/>
    <cellStyle name="Финансовый" xfId="2" builtinId="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231"/>
  <sheetViews>
    <sheetView topLeftCell="A4" zoomScale="70" zoomScaleNormal="70" workbookViewId="0">
      <pane xSplit="2" ySplit="14" topLeftCell="C189" activePane="bottomRight" state="frozen"/>
      <selection activeCell="A4" sqref="A4"/>
      <selection pane="topRight" activeCell="C4" sqref="C4"/>
      <selection pane="bottomLeft" activeCell="A15" sqref="A15"/>
      <selection pane="bottomRight" activeCell="D11" sqref="D11"/>
    </sheetView>
  </sheetViews>
  <sheetFormatPr defaultRowHeight="15" x14ac:dyDescent="0.25"/>
  <cols>
    <col min="1" max="1" width="21.42578125" style="8" customWidth="1"/>
    <col min="2" max="2" width="33.85546875" style="8" customWidth="1"/>
    <col min="3" max="4" width="8.7109375" style="8" customWidth="1"/>
    <col min="5" max="5" width="11.42578125" style="8" customWidth="1"/>
    <col min="6" max="18" width="8.7109375" style="8" customWidth="1"/>
    <col min="19" max="19" width="12.42578125" style="8" customWidth="1"/>
    <col min="20" max="20" width="11.28515625" style="8" customWidth="1"/>
    <col min="21" max="21" width="12.7109375" style="8" customWidth="1"/>
    <col min="22" max="23" width="15.85546875" style="8" customWidth="1"/>
    <col min="24" max="25" width="15" style="8" customWidth="1"/>
    <col min="26" max="26" width="14.85546875" style="8" customWidth="1"/>
    <col min="27" max="27" width="14.140625" style="8" customWidth="1"/>
    <col min="28" max="28" width="15.140625" style="8" customWidth="1"/>
    <col min="29" max="29" width="13.42578125" style="8" customWidth="1"/>
    <col min="30" max="30" width="14" style="8" customWidth="1"/>
    <col min="31" max="31" width="14" style="31" customWidth="1"/>
    <col min="32" max="33" width="13.85546875" style="31" customWidth="1"/>
    <col min="34" max="34" width="14.42578125" style="31" customWidth="1"/>
    <col min="35" max="35" width="11.5703125" style="31" customWidth="1"/>
    <col min="36" max="36" width="12.7109375" style="31" bestFit="1" customWidth="1"/>
    <col min="37" max="37" width="13" style="8" customWidth="1"/>
    <col min="38" max="39" width="10.140625" style="8" bestFit="1" customWidth="1"/>
    <col min="40" max="40" width="12.7109375" style="8" customWidth="1"/>
    <col min="41" max="41" width="9.140625" style="8"/>
    <col min="42" max="42" width="9.140625" style="8" hidden="1" customWidth="1"/>
    <col min="43" max="43" width="12.42578125" style="8" hidden="1" customWidth="1"/>
    <col min="44" max="16384" width="9.140625" style="8"/>
  </cols>
  <sheetData>
    <row r="2" spans="1:43" x14ac:dyDescent="0.25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N2" s="98" t="s">
        <v>438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4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4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3" x14ac:dyDescent="0.25">
      <c r="A5" s="98" t="s">
        <v>505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1"/>
    </row>
    <row r="6" spans="1:4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43" x14ac:dyDescent="0.25">
      <c r="A7" s="99" t="s">
        <v>1</v>
      </c>
      <c r="B7" s="108"/>
      <c r="C7" s="110" t="s">
        <v>2</v>
      </c>
      <c r="D7" s="110"/>
      <c r="E7" s="110"/>
      <c r="F7" s="110"/>
      <c r="G7" s="110"/>
      <c r="H7" s="110"/>
      <c r="I7" s="110"/>
      <c r="J7" s="110"/>
      <c r="K7" s="110"/>
      <c r="N7" s="99" t="s">
        <v>1</v>
      </c>
      <c r="O7" s="100"/>
      <c r="P7" s="100"/>
      <c r="Q7" s="99" t="s">
        <v>2</v>
      </c>
      <c r="R7" s="100"/>
      <c r="S7" s="100"/>
      <c r="T7" s="100"/>
      <c r="U7" s="100"/>
      <c r="V7" s="100"/>
      <c r="W7" s="100"/>
      <c r="X7" s="108"/>
      <c r="AA7" s="52"/>
      <c r="AB7" s="52"/>
    </row>
    <row r="8" spans="1:43" x14ac:dyDescent="0.25">
      <c r="A8" s="101"/>
      <c r="B8" s="109"/>
      <c r="C8" s="110"/>
      <c r="D8" s="110"/>
      <c r="E8" s="110"/>
      <c r="F8" s="110"/>
      <c r="G8" s="110"/>
      <c r="H8" s="110"/>
      <c r="I8" s="110"/>
      <c r="J8" s="110"/>
      <c r="K8" s="110"/>
      <c r="N8" s="101"/>
      <c r="O8" s="102"/>
      <c r="P8" s="102"/>
      <c r="Q8" s="103"/>
      <c r="R8" s="104"/>
      <c r="S8" s="104"/>
      <c r="T8" s="104"/>
      <c r="U8" s="104"/>
      <c r="V8" s="104"/>
      <c r="W8" s="104"/>
      <c r="X8" s="105"/>
      <c r="AA8" s="52"/>
      <c r="AB8" s="52"/>
    </row>
    <row r="9" spans="1:43" ht="87.75" customHeight="1" x14ac:dyDescent="0.25">
      <c r="A9" s="103"/>
      <c r="B9" s="105"/>
      <c r="C9" s="7" t="s">
        <v>12</v>
      </c>
      <c r="D9" s="7" t="s">
        <v>270</v>
      </c>
      <c r="E9" s="7" t="s">
        <v>13</v>
      </c>
      <c r="F9" s="7" t="s">
        <v>11</v>
      </c>
      <c r="G9" s="7" t="s">
        <v>10</v>
      </c>
      <c r="H9" s="7" t="s">
        <v>3</v>
      </c>
      <c r="I9" s="9" t="s">
        <v>4</v>
      </c>
      <c r="J9" s="7" t="s">
        <v>5</v>
      </c>
      <c r="K9" s="7" t="s">
        <v>6</v>
      </c>
      <c r="N9" s="103"/>
      <c r="O9" s="104"/>
      <c r="P9" s="105"/>
      <c r="Q9" s="65" t="s">
        <v>12</v>
      </c>
      <c r="R9" s="65" t="s">
        <v>270</v>
      </c>
      <c r="S9" s="65" t="s">
        <v>13</v>
      </c>
      <c r="T9" s="65" t="s">
        <v>11</v>
      </c>
      <c r="U9" s="65" t="s">
        <v>10</v>
      </c>
      <c r="V9" s="65" t="s">
        <v>3</v>
      </c>
      <c r="W9" s="65" t="s">
        <v>5</v>
      </c>
      <c r="X9" s="65" t="s">
        <v>6</v>
      </c>
    </row>
    <row r="10" spans="1:43" ht="55.5" customHeight="1" x14ac:dyDescent="0.25">
      <c r="A10" s="97" t="s">
        <v>7</v>
      </c>
      <c r="B10" s="97"/>
      <c r="C10" s="6">
        <f>25-1</f>
        <v>24</v>
      </c>
      <c r="D10" s="3">
        <v>12130</v>
      </c>
      <c r="E10" s="5">
        <f>C10/18</f>
        <v>1.3333333333333333</v>
      </c>
      <c r="F10" s="6">
        <v>1.1599999999999999</v>
      </c>
      <c r="G10" s="6">
        <f>ROUND(D10/0.7-D10,0)</f>
        <v>5199</v>
      </c>
      <c r="H10" s="4">
        <v>12</v>
      </c>
      <c r="I10" s="15">
        <v>22</v>
      </c>
      <c r="J10" s="4">
        <v>1.302</v>
      </c>
      <c r="K10" s="5">
        <f>ROUND((((D10*F10+G10)*E10)*H10*J10/I10)/1000,2)</f>
        <v>18.25</v>
      </c>
      <c r="N10" s="106" t="s">
        <v>7</v>
      </c>
      <c r="O10" s="106"/>
      <c r="P10" s="106"/>
      <c r="Q10" s="6">
        <v>8</v>
      </c>
      <c r="R10" s="3">
        <f>D10</f>
        <v>12130</v>
      </c>
      <c r="S10" s="5">
        <f>Q10/18</f>
        <v>0.44444444444444442</v>
      </c>
      <c r="T10" s="6">
        <v>1.1599999999999999</v>
      </c>
      <c r="U10" s="6">
        <v>0</v>
      </c>
      <c r="V10" s="4">
        <v>12</v>
      </c>
      <c r="W10" s="4">
        <v>1.302</v>
      </c>
      <c r="X10" s="5">
        <f>ROUND((((R10*T10+U10)*S10)*V10*W10)/1000,2)</f>
        <v>97.71</v>
      </c>
    </row>
    <row r="11" spans="1:43" ht="55.5" customHeight="1" x14ac:dyDescent="0.25">
      <c r="A11" s="97" t="s">
        <v>8</v>
      </c>
      <c r="B11" s="97"/>
      <c r="C11" s="6">
        <f>34-1</f>
        <v>33</v>
      </c>
      <c r="D11" s="3">
        <f>D10</f>
        <v>12130</v>
      </c>
      <c r="E11" s="5">
        <f>C11/18</f>
        <v>1.8333333333333333</v>
      </c>
      <c r="F11" s="6">
        <v>1.1399999999999999</v>
      </c>
      <c r="G11" s="6">
        <f>ROUND(D11/0.7-D11,0)</f>
        <v>5199</v>
      </c>
      <c r="H11" s="4">
        <v>12</v>
      </c>
      <c r="I11" s="15">
        <v>20</v>
      </c>
      <c r="J11" s="4">
        <v>1.302</v>
      </c>
      <c r="K11" s="5">
        <f>ROUND((((D11*F11+G11)*E11)*H11*J11/I11)/1000,2)</f>
        <v>27.25</v>
      </c>
      <c r="N11" s="97" t="s">
        <v>8</v>
      </c>
      <c r="O11" s="97"/>
      <c r="P11" s="97"/>
      <c r="Q11" s="6">
        <v>11</v>
      </c>
      <c r="R11" s="3">
        <f>D10</f>
        <v>12130</v>
      </c>
      <c r="S11" s="5">
        <f>Q11/18</f>
        <v>0.61111111111111116</v>
      </c>
      <c r="T11" s="6">
        <v>1.1399999999999999</v>
      </c>
      <c r="U11" s="6">
        <v>0</v>
      </c>
      <c r="V11" s="4">
        <v>12</v>
      </c>
      <c r="W11" s="4">
        <v>1.302</v>
      </c>
      <c r="X11" s="5">
        <f>ROUND((((R11*T11+U11)*S11)*V11*W11)/1000,2)</f>
        <v>132.03</v>
      </c>
    </row>
    <row r="12" spans="1:43" ht="55.5" customHeight="1" x14ac:dyDescent="0.25">
      <c r="A12" s="97" t="s">
        <v>9</v>
      </c>
      <c r="B12" s="97"/>
      <c r="C12" s="6">
        <v>36</v>
      </c>
      <c r="D12" s="3">
        <f>D10</f>
        <v>12130</v>
      </c>
      <c r="E12" s="5">
        <f>C12/18</f>
        <v>2</v>
      </c>
      <c r="F12" s="6">
        <v>1.1399999999999999</v>
      </c>
      <c r="G12" s="6">
        <f>ROUND(D12/0.7-D12,0)</f>
        <v>5199</v>
      </c>
      <c r="H12" s="4">
        <v>12</v>
      </c>
      <c r="I12" s="15">
        <v>14</v>
      </c>
      <c r="J12" s="4">
        <v>1.302</v>
      </c>
      <c r="K12" s="5">
        <f>ROUND((((D12*F12+G12)*E12)*H12*J12/I12)/1000,2)</f>
        <v>42.47</v>
      </c>
      <c r="N12" s="97" t="s">
        <v>9</v>
      </c>
      <c r="O12" s="97"/>
      <c r="P12" s="97"/>
      <c r="Q12" s="6">
        <v>12</v>
      </c>
      <c r="R12" s="3">
        <f>D10</f>
        <v>12130</v>
      </c>
      <c r="S12" s="5">
        <f>Q12/18</f>
        <v>0.66666666666666663</v>
      </c>
      <c r="T12" s="6">
        <v>1.1399999999999999</v>
      </c>
      <c r="U12" s="6">
        <v>0</v>
      </c>
      <c r="V12" s="4">
        <v>12</v>
      </c>
      <c r="W12" s="4">
        <v>1.302</v>
      </c>
      <c r="X12" s="5">
        <f>ROUND((((R12*T12+U12)*S12)*V12*W12)/1000,2)</f>
        <v>144.03</v>
      </c>
    </row>
    <row r="13" spans="1:43" ht="10.5" customHeight="1" x14ac:dyDescent="0.25">
      <c r="A13" s="33"/>
      <c r="B13" s="33"/>
      <c r="C13" s="34"/>
      <c r="D13" s="35"/>
      <c r="E13" s="36"/>
      <c r="F13" s="34"/>
      <c r="G13" s="34"/>
      <c r="H13" s="34"/>
      <c r="I13" s="37"/>
      <c r="J13" s="38"/>
      <c r="K13" s="37"/>
      <c r="L13" s="36"/>
      <c r="N13" s="33"/>
      <c r="O13" s="33"/>
      <c r="P13" s="33"/>
      <c r="Q13" s="34"/>
      <c r="R13" s="35"/>
      <c r="S13" s="36"/>
      <c r="T13" s="34"/>
      <c r="U13" s="34"/>
      <c r="V13" s="34"/>
      <c r="W13" s="34"/>
      <c r="X13" s="34"/>
      <c r="Y13" s="34"/>
      <c r="Z13" s="37"/>
      <c r="AA13" s="37"/>
      <c r="AB13" s="36"/>
    </row>
    <row r="14" spans="1:43" ht="15" customHeight="1" x14ac:dyDescent="0.25">
      <c r="A14" s="33"/>
      <c r="B14" s="33"/>
      <c r="C14" s="34"/>
      <c r="D14" s="35"/>
      <c r="E14" s="36"/>
      <c r="F14" s="34"/>
      <c r="G14" s="34"/>
      <c r="H14" s="34"/>
      <c r="I14" s="37"/>
      <c r="J14" s="38"/>
      <c r="K14" s="37"/>
      <c r="L14" s="36"/>
      <c r="N14" s="33"/>
      <c r="O14" s="33"/>
      <c r="P14" s="33"/>
      <c r="Q14" s="34"/>
      <c r="R14" s="35"/>
      <c r="S14" s="36"/>
      <c r="T14" s="34"/>
      <c r="U14" s="34"/>
      <c r="V14" s="34"/>
      <c r="W14" s="34"/>
      <c r="X14" s="34"/>
      <c r="Y14" s="34"/>
      <c r="Z14" s="37"/>
      <c r="AA14" s="37"/>
      <c r="AB14" s="126"/>
      <c r="AC14" s="126"/>
      <c r="AD14" s="126"/>
      <c r="AE14" s="126"/>
    </row>
    <row r="15" spans="1:43" ht="15" customHeight="1" x14ac:dyDescent="0.25">
      <c r="A15" s="111" t="s">
        <v>264</v>
      </c>
      <c r="B15" s="112" t="s">
        <v>265</v>
      </c>
      <c r="C15" s="112" t="s">
        <v>273</v>
      </c>
      <c r="D15" s="112"/>
      <c r="E15" s="112"/>
      <c r="F15" s="112"/>
      <c r="G15" s="116" t="s">
        <v>443</v>
      </c>
      <c r="H15" s="116"/>
      <c r="I15" s="116"/>
      <c r="J15" s="116"/>
      <c r="K15" s="116"/>
      <c r="L15" s="116"/>
      <c r="M15" s="116"/>
      <c r="N15" s="116"/>
      <c r="O15" s="117" t="s">
        <v>271</v>
      </c>
      <c r="P15" s="118"/>
      <c r="Q15" s="118"/>
      <c r="R15" s="119"/>
      <c r="S15" s="113" t="s">
        <v>269</v>
      </c>
      <c r="T15" s="113" t="s">
        <v>274</v>
      </c>
      <c r="U15" s="91" t="s">
        <v>469</v>
      </c>
      <c r="V15" s="91" t="s">
        <v>17</v>
      </c>
      <c r="W15" s="111" t="s">
        <v>476</v>
      </c>
      <c r="X15" s="123" t="s">
        <v>261</v>
      </c>
      <c r="Y15" s="91" t="s">
        <v>484</v>
      </c>
      <c r="Z15" s="113" t="s">
        <v>266</v>
      </c>
      <c r="AA15" s="113" t="s">
        <v>267</v>
      </c>
      <c r="AB15" s="91" t="s">
        <v>485</v>
      </c>
      <c r="AC15" s="113" t="s">
        <v>266</v>
      </c>
      <c r="AD15" s="113" t="s">
        <v>267</v>
      </c>
      <c r="AE15" s="94" t="s">
        <v>474</v>
      </c>
      <c r="AF15" s="95"/>
      <c r="AG15" s="95"/>
      <c r="AH15" s="95"/>
      <c r="AI15" s="96"/>
      <c r="AJ15" s="94" t="s">
        <v>475</v>
      </c>
      <c r="AK15" s="95"/>
      <c r="AL15" s="95"/>
      <c r="AM15" s="96"/>
      <c r="AN15" s="91" t="s">
        <v>469</v>
      </c>
    </row>
    <row r="16" spans="1:43" ht="90" customHeight="1" x14ac:dyDescent="0.25">
      <c r="A16" s="111"/>
      <c r="B16" s="112"/>
      <c r="C16" s="112"/>
      <c r="D16" s="112"/>
      <c r="E16" s="112"/>
      <c r="F16" s="112"/>
      <c r="G16" s="116" t="s">
        <v>439</v>
      </c>
      <c r="H16" s="116"/>
      <c r="I16" s="116"/>
      <c r="J16" s="116"/>
      <c r="K16" s="116" t="s">
        <v>442</v>
      </c>
      <c r="L16" s="116"/>
      <c r="M16" s="116"/>
      <c r="N16" s="116"/>
      <c r="O16" s="120"/>
      <c r="P16" s="121"/>
      <c r="Q16" s="121"/>
      <c r="R16" s="122"/>
      <c r="S16" s="114"/>
      <c r="T16" s="114"/>
      <c r="U16" s="92"/>
      <c r="V16" s="92"/>
      <c r="W16" s="111"/>
      <c r="X16" s="124"/>
      <c r="Y16" s="92"/>
      <c r="Z16" s="114"/>
      <c r="AA16" s="114"/>
      <c r="AB16" s="92"/>
      <c r="AC16" s="114"/>
      <c r="AD16" s="114"/>
      <c r="AE16" s="91" t="s">
        <v>506</v>
      </c>
      <c r="AF16" s="91" t="s">
        <v>487</v>
      </c>
      <c r="AG16" s="91" t="s">
        <v>495</v>
      </c>
      <c r="AH16" s="91" t="s">
        <v>488</v>
      </c>
      <c r="AI16" s="91" t="s">
        <v>437</v>
      </c>
      <c r="AJ16" s="91" t="s">
        <v>444</v>
      </c>
      <c r="AK16" s="91" t="s">
        <v>487</v>
      </c>
      <c r="AL16" s="91" t="s">
        <v>488</v>
      </c>
      <c r="AM16" s="91" t="s">
        <v>437</v>
      </c>
      <c r="AN16" s="92"/>
      <c r="AP16" s="90" t="s">
        <v>502</v>
      </c>
      <c r="AQ16" s="90" t="s">
        <v>503</v>
      </c>
    </row>
    <row r="17" spans="1:43" ht="81" customHeight="1" x14ac:dyDescent="0.25">
      <c r="A17" s="111"/>
      <c r="B17" s="112"/>
      <c r="C17" s="15" t="s">
        <v>14</v>
      </c>
      <c r="D17" s="15" t="s">
        <v>15</v>
      </c>
      <c r="E17" s="15" t="s">
        <v>16</v>
      </c>
      <c r="F17" s="15" t="s">
        <v>272</v>
      </c>
      <c r="G17" s="15" t="s">
        <v>14</v>
      </c>
      <c r="H17" s="15" t="s">
        <v>15</v>
      </c>
      <c r="I17" s="15" t="s">
        <v>16</v>
      </c>
      <c r="J17" s="15" t="s">
        <v>272</v>
      </c>
      <c r="K17" s="15" t="s">
        <v>14</v>
      </c>
      <c r="L17" s="15" t="s">
        <v>15</v>
      </c>
      <c r="M17" s="15" t="s">
        <v>16</v>
      </c>
      <c r="N17" s="15" t="s">
        <v>272</v>
      </c>
      <c r="O17" s="15" t="s">
        <v>14</v>
      </c>
      <c r="P17" s="15" t="s">
        <v>15</v>
      </c>
      <c r="Q17" s="15" t="s">
        <v>16</v>
      </c>
      <c r="R17" s="15" t="s">
        <v>272</v>
      </c>
      <c r="S17" s="115"/>
      <c r="T17" s="115"/>
      <c r="U17" s="93"/>
      <c r="V17" s="93"/>
      <c r="W17" s="111"/>
      <c r="X17" s="125"/>
      <c r="Y17" s="93"/>
      <c r="Z17" s="115"/>
      <c r="AA17" s="115"/>
      <c r="AB17" s="93"/>
      <c r="AC17" s="115"/>
      <c r="AD17" s="115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P17" s="90"/>
      <c r="AQ17" s="90"/>
    </row>
    <row r="18" spans="1:43" x14ac:dyDescent="0.25">
      <c r="A18" s="8" t="s">
        <v>18</v>
      </c>
      <c r="B18" s="30" t="s">
        <v>277</v>
      </c>
      <c r="C18" s="8">
        <v>477</v>
      </c>
      <c r="D18" s="8">
        <v>588</v>
      </c>
      <c r="E18" s="8">
        <v>72</v>
      </c>
      <c r="F18" s="8">
        <f t="shared" ref="F18:F80" si="0">SUM(C18:E18)</f>
        <v>1137</v>
      </c>
      <c r="G18" s="8">
        <v>16</v>
      </c>
      <c r="H18" s="8">
        <v>19</v>
      </c>
      <c r="I18" s="8">
        <v>1</v>
      </c>
      <c r="J18" s="8">
        <f t="shared" ref="J18:J80" si="1">SUM(G18:I18)</f>
        <v>36</v>
      </c>
      <c r="K18" s="8">
        <v>6</v>
      </c>
      <c r="L18" s="8">
        <v>7</v>
      </c>
      <c r="M18" s="8">
        <v>0</v>
      </c>
      <c r="N18" s="8">
        <f t="shared" ref="N18:N80" si="2">SUM(K18:M18)</f>
        <v>13</v>
      </c>
      <c r="O18" s="8">
        <v>15</v>
      </c>
      <c r="P18" s="8">
        <v>21</v>
      </c>
      <c r="Q18" s="8">
        <v>3</v>
      </c>
      <c r="R18" s="8">
        <f t="shared" ref="R18:R80" si="3">SUM(O18:Q18)</f>
        <v>39</v>
      </c>
      <c r="S18" s="31">
        <v>1.8</v>
      </c>
      <c r="T18" s="30">
        <v>1</v>
      </c>
      <c r="U18" s="66">
        <f>IF(A18='Свод по районам'!$A$6,'Свод по районам'!$G$6,0)</f>
        <v>1.3223315990626403</v>
      </c>
      <c r="V18" s="30">
        <f t="shared" ref="V18:V81" si="4">ROUND((((C18-G18)*$K$10+(D18-H18)*$K$11+(E18-I18)*$K$12)+(G18*$X$10+H18*$X$11+I18*$X$12)+(K18*$K$10*0.2+L18*$K$11*0.2+M18*$K$12*0.2))*T18*S18/1.302/12,1)</f>
        <v>3595.6</v>
      </c>
      <c r="W18" s="12">
        <f>V18/AN18</f>
        <v>2314.518675496689</v>
      </c>
      <c r="X18" s="11">
        <v>2641.0159999999996</v>
      </c>
      <c r="Y18" s="17">
        <f t="shared" ref="Y18:Y80" si="5">V18-X18</f>
        <v>954.58400000000029</v>
      </c>
      <c r="Z18" s="17">
        <f>IF(Y18&gt;0,Y18,0)</f>
        <v>954.58400000000029</v>
      </c>
      <c r="AA18" s="17">
        <f t="shared" ref="AA18:AA80" si="6">IF(Y18&lt;0,Y18,0)</f>
        <v>0</v>
      </c>
      <c r="AB18" s="20">
        <f t="shared" ref="AB18:AB80" si="7">W18-X18</f>
        <v>-326.49732450331067</v>
      </c>
      <c r="AC18" s="17">
        <f>IF(AB18&gt;0,AB18,0)</f>
        <v>0</v>
      </c>
      <c r="AD18" s="17">
        <f t="shared" ref="AD18:AD80" si="8">IF(AB18&lt;0,AB18,0)</f>
        <v>-326.49732450331067</v>
      </c>
      <c r="AE18" s="8">
        <v>54</v>
      </c>
      <c r="AF18" s="28">
        <f t="shared" ref="AF18:AF80" si="9">V18/AE18*1000</f>
        <v>66585.185185185182</v>
      </c>
      <c r="AG18" s="28">
        <f>W18/AE18*1000</f>
        <v>42861.456953642388</v>
      </c>
      <c r="AH18" s="28">
        <f t="shared" ref="AH18:AH80" si="10">X18/AE18*1000</f>
        <v>48907.703703703693</v>
      </c>
      <c r="AI18" s="42">
        <f t="shared" ref="AI18:AI80" si="11">AF18-AH18</f>
        <v>17677.481481481489</v>
      </c>
      <c r="AJ18" s="44">
        <f t="shared" ref="AJ18:AJ49" si="12">(O18*$E$10+P18*$E$11+Q18*$E$12)+(G18*$S$10+H18*$S$11+I18*$S$12)</f>
        <v>83.888888888888886</v>
      </c>
      <c r="AK18" s="45">
        <f t="shared" ref="AK18:AK80" si="13">V18/AJ18*1000</f>
        <v>42861.456953642381</v>
      </c>
      <c r="AL18" s="45">
        <f t="shared" ref="AL18:AL80" si="14">X18/AJ18*1000</f>
        <v>31482.309933774832</v>
      </c>
      <c r="AM18" s="45">
        <f t="shared" ref="AM18:AM80" si="15">AK18-AL18</f>
        <v>11379.147019867549</v>
      </c>
      <c r="AN18" s="23">
        <f>AJ18/AE18</f>
        <v>1.5534979423868311</v>
      </c>
      <c r="AP18" s="20" t="e">
        <f>IF(AH18/S18&lt;#REF!,AH18,0)</f>
        <v>#REF!</v>
      </c>
      <c r="AQ18" s="11" t="e">
        <f>IF(AP18&gt;0,(#REF!*S18-AP18)*AE18/1000*1.302*4,0)</f>
        <v>#REF!</v>
      </c>
    </row>
    <row r="19" spans="1:43" x14ac:dyDescent="0.25">
      <c r="A19" s="8" t="s">
        <v>18</v>
      </c>
      <c r="B19" s="30" t="s">
        <v>278</v>
      </c>
      <c r="C19" s="8">
        <v>403</v>
      </c>
      <c r="D19" s="8">
        <v>526</v>
      </c>
      <c r="E19" s="8">
        <v>112</v>
      </c>
      <c r="F19" s="8">
        <f t="shared" si="0"/>
        <v>1041</v>
      </c>
      <c r="G19" s="8">
        <v>8</v>
      </c>
      <c r="H19" s="8">
        <v>11</v>
      </c>
      <c r="J19" s="8">
        <f t="shared" si="1"/>
        <v>19</v>
      </c>
      <c r="K19" s="8">
        <v>17</v>
      </c>
      <c r="L19" s="8">
        <v>1</v>
      </c>
      <c r="M19" s="8">
        <v>1</v>
      </c>
      <c r="N19" s="8">
        <f t="shared" si="2"/>
        <v>19</v>
      </c>
      <c r="O19" s="8">
        <v>16</v>
      </c>
      <c r="P19" s="8">
        <v>22</v>
      </c>
      <c r="Q19" s="8">
        <v>5</v>
      </c>
      <c r="R19" s="8">
        <f t="shared" si="3"/>
        <v>43</v>
      </c>
      <c r="S19" s="31">
        <v>1.8</v>
      </c>
      <c r="T19" s="30">
        <v>1.25</v>
      </c>
      <c r="U19" s="66">
        <f>IF(A19='Свод по районам'!$A$6,'Свод по районам'!$G$6,0)</f>
        <v>1.3223315990626403</v>
      </c>
      <c r="V19" s="30">
        <f t="shared" si="4"/>
        <v>4076.8</v>
      </c>
      <c r="W19" s="12">
        <f t="shared" ref="W19:W81" si="16">V19/AN19</f>
        <v>2835.7944406779666</v>
      </c>
      <c r="X19" s="11">
        <v>2787.5499999999997</v>
      </c>
      <c r="Y19" s="17">
        <f t="shared" si="5"/>
        <v>1289.2500000000005</v>
      </c>
      <c r="Z19" s="17">
        <f t="shared" ref="Z19:Z80" si="17">IF(Y19&gt;0,Y19,0)</f>
        <v>1289.2500000000005</v>
      </c>
      <c r="AA19" s="17">
        <f t="shared" si="6"/>
        <v>0</v>
      </c>
      <c r="AB19" s="20">
        <f t="shared" si="7"/>
        <v>48.24444067796685</v>
      </c>
      <c r="AC19" s="17">
        <f t="shared" ref="AC19:AC80" si="18">IF(AB19&gt;0,AB19,0)</f>
        <v>48.24444067796685</v>
      </c>
      <c r="AD19" s="17">
        <f t="shared" si="8"/>
        <v>0</v>
      </c>
      <c r="AE19" s="8">
        <v>57</v>
      </c>
      <c r="AF19" s="28">
        <f t="shared" si="9"/>
        <v>71522.807017543862</v>
      </c>
      <c r="AG19" s="28">
        <f t="shared" ref="AG19:AG81" si="19">W19/AE19*1000</f>
        <v>49750.779661016953</v>
      </c>
      <c r="AH19" s="28">
        <f t="shared" si="10"/>
        <v>48904.385964912282</v>
      </c>
      <c r="AI19" s="42">
        <f t="shared" si="11"/>
        <v>22618.42105263158</v>
      </c>
      <c r="AJ19" s="44">
        <f t="shared" si="12"/>
        <v>81.944444444444429</v>
      </c>
      <c r="AK19" s="45">
        <f t="shared" si="13"/>
        <v>49750.779661016961</v>
      </c>
      <c r="AL19" s="45">
        <f t="shared" si="14"/>
        <v>34017.559322033907</v>
      </c>
      <c r="AM19" s="45">
        <f t="shared" si="15"/>
        <v>15733.220338983054</v>
      </c>
      <c r="AN19" s="23">
        <f t="shared" ref="AN19:AN80" si="20">AJ19/AE19</f>
        <v>1.4376218323586742</v>
      </c>
      <c r="AP19" s="20" t="e">
        <f>IF(AH19/S19&lt;#REF!,AH19,0)</f>
        <v>#REF!</v>
      </c>
      <c r="AQ19" s="11" t="e">
        <f>IF(AP19&gt;0,(#REF!*S19-AP19)*AE19/1000*1.302*4,0)</f>
        <v>#REF!</v>
      </c>
    </row>
    <row r="20" spans="1:43" x14ac:dyDescent="0.25">
      <c r="A20" s="8" t="s">
        <v>18</v>
      </c>
      <c r="B20" s="30" t="s">
        <v>111</v>
      </c>
      <c r="C20" s="8">
        <v>87</v>
      </c>
      <c r="D20" s="8">
        <v>118</v>
      </c>
      <c r="E20" s="8">
        <v>24</v>
      </c>
      <c r="F20" s="8">
        <f t="shared" si="0"/>
        <v>229</v>
      </c>
      <c r="H20" s="8">
        <v>1</v>
      </c>
      <c r="J20" s="8">
        <f t="shared" si="1"/>
        <v>1</v>
      </c>
      <c r="K20" s="8">
        <v>0</v>
      </c>
      <c r="L20" s="8">
        <v>1</v>
      </c>
      <c r="M20" s="8">
        <v>0</v>
      </c>
      <c r="N20" s="8">
        <f t="shared" si="2"/>
        <v>1</v>
      </c>
      <c r="O20" s="8">
        <v>6</v>
      </c>
      <c r="P20" s="8">
        <v>7</v>
      </c>
      <c r="Q20" s="8">
        <v>2</v>
      </c>
      <c r="R20" s="8">
        <f t="shared" si="3"/>
        <v>15</v>
      </c>
      <c r="S20" s="31">
        <v>1.8</v>
      </c>
      <c r="T20" s="30">
        <v>1.25</v>
      </c>
      <c r="U20" s="66">
        <f>IF(A20='Свод по районам'!$A$6,'Свод по районам'!$G$6,0)</f>
        <v>1.3223315990626403</v>
      </c>
      <c r="V20" s="30">
        <f t="shared" si="4"/>
        <v>854.4</v>
      </c>
      <c r="W20" s="12">
        <f t="shared" si="16"/>
        <v>705.15982532751093</v>
      </c>
      <c r="X20" s="11">
        <v>706.053</v>
      </c>
      <c r="Y20" s="17">
        <f t="shared" si="5"/>
        <v>148.34699999999998</v>
      </c>
      <c r="Z20" s="17">
        <f t="shared" si="17"/>
        <v>148.34699999999998</v>
      </c>
      <c r="AA20" s="17">
        <f t="shared" si="6"/>
        <v>0</v>
      </c>
      <c r="AB20" s="20">
        <f t="shared" si="7"/>
        <v>-0.89317467248906723</v>
      </c>
      <c r="AC20" s="17">
        <f t="shared" si="18"/>
        <v>0</v>
      </c>
      <c r="AD20" s="17">
        <f t="shared" si="8"/>
        <v>-0.89317467248906723</v>
      </c>
      <c r="AE20" s="8">
        <v>21</v>
      </c>
      <c r="AF20" s="28">
        <f t="shared" si="9"/>
        <v>40685.714285714283</v>
      </c>
      <c r="AG20" s="28">
        <f t="shared" si="19"/>
        <v>33579.039301310047</v>
      </c>
      <c r="AH20" s="28">
        <f t="shared" si="10"/>
        <v>33621.571428571428</v>
      </c>
      <c r="AI20" s="42">
        <f t="shared" si="11"/>
        <v>7064.1428571428551</v>
      </c>
      <c r="AJ20" s="44">
        <f t="shared" si="12"/>
        <v>25.444444444444443</v>
      </c>
      <c r="AK20" s="45">
        <f t="shared" si="13"/>
        <v>33579.039301310047</v>
      </c>
      <c r="AL20" s="45">
        <f t="shared" si="14"/>
        <v>27748.807860262012</v>
      </c>
      <c r="AM20" s="45">
        <f t="shared" si="15"/>
        <v>5830.2314410480358</v>
      </c>
      <c r="AN20" s="23">
        <f t="shared" si="20"/>
        <v>1.2116402116402116</v>
      </c>
      <c r="AP20" s="20" t="e">
        <f>IF(AH20/S20&lt;#REF!,AH20,0)</f>
        <v>#REF!</v>
      </c>
      <c r="AQ20" s="11" t="e">
        <f>IF(AP20&gt;0,(#REF!*S20-AP20)*AE20/1000*1.302*4,0)</f>
        <v>#REF!</v>
      </c>
    </row>
    <row r="21" spans="1:43" x14ac:dyDescent="0.25">
      <c r="A21" s="8" t="s">
        <v>18</v>
      </c>
      <c r="B21" s="30" t="s">
        <v>280</v>
      </c>
      <c r="C21" s="8">
        <v>76</v>
      </c>
      <c r="D21" s="8">
        <v>104</v>
      </c>
      <c r="E21" s="8">
        <v>15</v>
      </c>
      <c r="F21" s="8">
        <f t="shared" si="0"/>
        <v>195</v>
      </c>
      <c r="G21" s="8">
        <v>4</v>
      </c>
      <c r="H21" s="8">
        <v>1</v>
      </c>
      <c r="J21" s="8">
        <f t="shared" si="1"/>
        <v>5</v>
      </c>
      <c r="K21" s="8">
        <v>2</v>
      </c>
      <c r="L21" s="8">
        <v>0</v>
      </c>
      <c r="M21" s="8">
        <v>0</v>
      </c>
      <c r="N21" s="8">
        <f t="shared" si="2"/>
        <v>2</v>
      </c>
      <c r="O21" s="8">
        <v>4</v>
      </c>
      <c r="P21" s="8">
        <v>6</v>
      </c>
      <c r="Q21" s="8">
        <v>2</v>
      </c>
      <c r="R21" s="8">
        <f t="shared" si="3"/>
        <v>12</v>
      </c>
      <c r="S21" s="31">
        <v>1.8</v>
      </c>
      <c r="T21" s="30">
        <v>1.25</v>
      </c>
      <c r="U21" s="66">
        <f>IF(A21='Свод по районам'!$A$6,'Свод по районам'!$G$6,0)</f>
        <v>1.3223315990626403</v>
      </c>
      <c r="V21" s="30">
        <f t="shared" si="4"/>
        <v>761.5</v>
      </c>
      <c r="W21" s="12">
        <f t="shared" si="16"/>
        <v>469.18826405867969</v>
      </c>
      <c r="X21" s="11">
        <v>628.27499999999998</v>
      </c>
      <c r="Y21" s="17">
        <f t="shared" si="5"/>
        <v>133.22500000000002</v>
      </c>
      <c r="Z21" s="17">
        <f t="shared" si="17"/>
        <v>133.22500000000002</v>
      </c>
      <c r="AA21" s="17">
        <f t="shared" si="6"/>
        <v>0</v>
      </c>
      <c r="AB21" s="20">
        <f t="shared" si="7"/>
        <v>-159.08673594132028</v>
      </c>
      <c r="AC21" s="17">
        <f t="shared" si="18"/>
        <v>0</v>
      </c>
      <c r="AD21" s="17">
        <f t="shared" si="8"/>
        <v>-159.08673594132028</v>
      </c>
      <c r="AE21" s="8">
        <v>14</v>
      </c>
      <c r="AF21" s="28">
        <f t="shared" si="9"/>
        <v>54392.857142857145</v>
      </c>
      <c r="AG21" s="28">
        <f t="shared" si="19"/>
        <v>33513.447432762841</v>
      </c>
      <c r="AH21" s="28">
        <f t="shared" si="10"/>
        <v>44876.78571428571</v>
      </c>
      <c r="AI21" s="42">
        <f t="shared" si="11"/>
        <v>9516.0714285714348</v>
      </c>
      <c r="AJ21" s="44">
        <f t="shared" si="12"/>
        <v>22.722222222222221</v>
      </c>
      <c r="AK21" s="45">
        <f t="shared" si="13"/>
        <v>33513.447432762841</v>
      </c>
      <c r="AL21" s="45">
        <f t="shared" si="14"/>
        <v>27650.244498777509</v>
      </c>
      <c r="AM21" s="45">
        <f t="shared" si="15"/>
        <v>5863.2029339853325</v>
      </c>
      <c r="AN21" s="23">
        <f t="shared" si="20"/>
        <v>1.623015873015873</v>
      </c>
      <c r="AP21" s="20" t="e">
        <f>IF(AH21/S21&lt;#REF!,AH21,0)</f>
        <v>#REF!</v>
      </c>
      <c r="AQ21" s="11" t="e">
        <f>IF(AP21&gt;0,(#REF!*S21-AP21)*AE21/1000*1.302*4,0)</f>
        <v>#REF!</v>
      </c>
    </row>
    <row r="22" spans="1:43" x14ac:dyDescent="0.25">
      <c r="A22" s="8" t="s">
        <v>18</v>
      </c>
      <c r="B22" s="30" t="s">
        <v>279</v>
      </c>
      <c r="C22" s="8">
        <v>60</v>
      </c>
      <c r="D22" s="8">
        <v>95</v>
      </c>
      <c r="E22" s="8">
        <v>32</v>
      </c>
      <c r="F22" s="8">
        <f t="shared" si="0"/>
        <v>187</v>
      </c>
      <c r="H22" s="8">
        <v>2</v>
      </c>
      <c r="J22" s="8">
        <f t="shared" si="1"/>
        <v>2</v>
      </c>
      <c r="K22" s="8">
        <v>2</v>
      </c>
      <c r="L22" s="8">
        <v>1</v>
      </c>
      <c r="M22" s="8">
        <v>0</v>
      </c>
      <c r="N22" s="8">
        <f t="shared" si="2"/>
        <v>3</v>
      </c>
      <c r="O22" s="8">
        <v>4</v>
      </c>
      <c r="P22" s="8">
        <v>6</v>
      </c>
      <c r="Q22" s="8">
        <v>2</v>
      </c>
      <c r="R22" s="8">
        <f t="shared" si="3"/>
        <v>12</v>
      </c>
      <c r="S22" s="31">
        <v>1.8</v>
      </c>
      <c r="T22" s="30">
        <v>1.25</v>
      </c>
      <c r="U22" s="66">
        <f>IF(A22='Свод по районам'!$A$6,'Свод по районам'!$G$6,0)</f>
        <v>1.3223315990626403</v>
      </c>
      <c r="V22" s="30">
        <f t="shared" si="4"/>
        <v>758.2</v>
      </c>
      <c r="W22" s="12">
        <f t="shared" si="16"/>
        <v>527.61340206185571</v>
      </c>
      <c r="X22" s="11">
        <v>628.46599999999989</v>
      </c>
      <c r="Y22" s="17">
        <f t="shared" si="5"/>
        <v>129.73400000000015</v>
      </c>
      <c r="Z22" s="17">
        <f t="shared" si="17"/>
        <v>129.73400000000015</v>
      </c>
      <c r="AA22" s="17">
        <f t="shared" si="6"/>
        <v>0</v>
      </c>
      <c r="AB22" s="20">
        <f t="shared" si="7"/>
        <v>-100.85259793814419</v>
      </c>
      <c r="AC22" s="17">
        <f t="shared" si="18"/>
        <v>0</v>
      </c>
      <c r="AD22" s="17">
        <f t="shared" si="8"/>
        <v>-100.85259793814419</v>
      </c>
      <c r="AE22" s="8">
        <v>15</v>
      </c>
      <c r="AF22" s="28">
        <f t="shared" si="9"/>
        <v>50546.666666666664</v>
      </c>
      <c r="AG22" s="28">
        <f t="shared" si="19"/>
        <v>35174.226804123711</v>
      </c>
      <c r="AH22" s="28">
        <f t="shared" si="10"/>
        <v>41897.73333333333</v>
      </c>
      <c r="AI22" s="42">
        <f t="shared" si="11"/>
        <v>8648.9333333333343</v>
      </c>
      <c r="AJ22" s="44">
        <f t="shared" si="12"/>
        <v>21.555555555555554</v>
      </c>
      <c r="AK22" s="45">
        <f t="shared" si="13"/>
        <v>35174.226804123718</v>
      </c>
      <c r="AL22" s="45">
        <f t="shared" si="14"/>
        <v>29155.639175257729</v>
      </c>
      <c r="AM22" s="45">
        <f t="shared" si="15"/>
        <v>6018.5876288659892</v>
      </c>
      <c r="AN22" s="23">
        <f t="shared" si="20"/>
        <v>1.4370370370370369</v>
      </c>
      <c r="AP22" s="20" t="e">
        <f>IF(AH22/S22&lt;#REF!,AH22,0)</f>
        <v>#REF!</v>
      </c>
      <c r="AQ22" s="11" t="e">
        <f>IF(AP22&gt;0,(#REF!*S22-AP22)*AE22/1000*1.302*4,0)</f>
        <v>#REF!</v>
      </c>
    </row>
    <row r="23" spans="1:43" x14ac:dyDescent="0.25">
      <c r="A23" s="8" t="s">
        <v>19</v>
      </c>
      <c r="B23" s="30" t="s">
        <v>283</v>
      </c>
      <c r="C23" s="8">
        <v>247</v>
      </c>
      <c r="D23" s="8">
        <v>251</v>
      </c>
      <c r="E23" s="8">
        <v>73</v>
      </c>
      <c r="F23" s="8">
        <f t="shared" si="0"/>
        <v>571</v>
      </c>
      <c r="G23" s="8">
        <v>2</v>
      </c>
      <c r="H23" s="8">
        <v>2</v>
      </c>
      <c r="J23" s="8">
        <f t="shared" si="1"/>
        <v>4</v>
      </c>
      <c r="K23" s="8">
        <v>5</v>
      </c>
      <c r="L23" s="8">
        <v>5</v>
      </c>
      <c r="M23" s="8">
        <v>1</v>
      </c>
      <c r="N23" s="8">
        <f t="shared" si="2"/>
        <v>11</v>
      </c>
      <c r="O23" s="8">
        <v>12</v>
      </c>
      <c r="P23" s="8">
        <v>12</v>
      </c>
      <c r="Q23" s="8">
        <v>3</v>
      </c>
      <c r="R23" s="8">
        <f t="shared" si="3"/>
        <v>27</v>
      </c>
      <c r="S23" s="31">
        <v>2.2000000000000002</v>
      </c>
      <c r="T23" s="30">
        <v>1.25</v>
      </c>
      <c r="U23" s="66">
        <f>IF(A23='Свод по районам'!$A$7,'Свод по районам'!$G$7,0)</f>
        <v>1.6565860580005747</v>
      </c>
      <c r="V23" s="30">
        <f t="shared" si="4"/>
        <v>2617.3000000000002</v>
      </c>
      <c r="W23" s="12">
        <f t="shared" si="16"/>
        <v>1827.6952771084339</v>
      </c>
      <c r="X23" s="11">
        <v>1629.5840000000001</v>
      </c>
      <c r="Y23" s="17">
        <f t="shared" si="5"/>
        <v>987.71600000000012</v>
      </c>
      <c r="Z23" s="17">
        <f t="shared" si="17"/>
        <v>987.71600000000012</v>
      </c>
      <c r="AA23" s="17">
        <f t="shared" si="6"/>
        <v>0</v>
      </c>
      <c r="AB23" s="20">
        <f t="shared" si="7"/>
        <v>198.1112771084338</v>
      </c>
      <c r="AC23" s="17">
        <f t="shared" si="18"/>
        <v>198.1112771084338</v>
      </c>
      <c r="AD23" s="17">
        <f t="shared" si="8"/>
        <v>0</v>
      </c>
      <c r="AE23" s="8">
        <v>32.200000000000003</v>
      </c>
      <c r="AF23" s="28">
        <f t="shared" si="9"/>
        <v>81282.608695652176</v>
      </c>
      <c r="AG23" s="28">
        <f t="shared" si="19"/>
        <v>56760.722891566264</v>
      </c>
      <c r="AH23" s="28">
        <f t="shared" si="10"/>
        <v>50608.198757763974</v>
      </c>
      <c r="AI23" s="42">
        <f t="shared" si="11"/>
        <v>30674.409937888202</v>
      </c>
      <c r="AJ23" s="44">
        <f t="shared" si="12"/>
        <v>46.111111111111114</v>
      </c>
      <c r="AK23" s="45">
        <f t="shared" si="13"/>
        <v>56760.722891566271</v>
      </c>
      <c r="AL23" s="45">
        <f t="shared" si="14"/>
        <v>35340.375903614455</v>
      </c>
      <c r="AM23" s="45">
        <f t="shared" si="15"/>
        <v>21420.346987951816</v>
      </c>
      <c r="AN23" s="23">
        <f t="shared" si="20"/>
        <v>1.4320220841959972</v>
      </c>
      <c r="AP23" s="20" t="e">
        <f>IF(AH23/S23&lt;#REF!,AH23,0)</f>
        <v>#REF!</v>
      </c>
      <c r="AQ23" s="11" t="e">
        <f>IF(AP23&gt;0,(#REF!*S23-AP23)*AE23/1000*1.302*4,0)</f>
        <v>#REF!</v>
      </c>
    </row>
    <row r="24" spans="1:43" x14ac:dyDescent="0.25">
      <c r="A24" s="8" t="s">
        <v>19</v>
      </c>
      <c r="B24" s="30" t="s">
        <v>281</v>
      </c>
      <c r="C24" s="8">
        <v>74</v>
      </c>
      <c r="D24" s="8">
        <v>96</v>
      </c>
      <c r="E24" s="8">
        <v>20</v>
      </c>
      <c r="F24" s="8">
        <f t="shared" si="0"/>
        <v>190</v>
      </c>
      <c r="J24" s="8">
        <f t="shared" si="1"/>
        <v>0</v>
      </c>
      <c r="K24" s="8">
        <v>7</v>
      </c>
      <c r="L24" s="8">
        <v>0</v>
      </c>
      <c r="M24" s="8">
        <v>0</v>
      </c>
      <c r="N24" s="8">
        <f t="shared" si="2"/>
        <v>7</v>
      </c>
      <c r="O24" s="8">
        <v>4</v>
      </c>
      <c r="P24" s="8">
        <v>5</v>
      </c>
      <c r="Q24" s="8">
        <v>2</v>
      </c>
      <c r="R24" s="8">
        <f t="shared" si="3"/>
        <v>11</v>
      </c>
      <c r="S24" s="31">
        <v>2.2000000000000002</v>
      </c>
      <c r="T24" s="30">
        <v>1.25</v>
      </c>
      <c r="U24" s="66">
        <f>IF(A24='Свод по районам'!$A$7,'Свод по районам'!$G$7,0)</f>
        <v>1.6565860580005747</v>
      </c>
      <c r="V24" s="30">
        <f t="shared" si="4"/>
        <v>852.1</v>
      </c>
      <c r="W24" s="12">
        <f t="shared" si="16"/>
        <v>538.89567567567565</v>
      </c>
      <c r="X24" s="11">
        <v>602.77100000000007</v>
      </c>
      <c r="Y24" s="17">
        <f t="shared" si="5"/>
        <v>249.32899999999995</v>
      </c>
      <c r="Z24" s="17">
        <f t="shared" si="17"/>
        <v>249.32899999999995</v>
      </c>
      <c r="AA24" s="17">
        <f t="shared" si="6"/>
        <v>0</v>
      </c>
      <c r="AB24" s="20">
        <f t="shared" si="7"/>
        <v>-63.875324324324424</v>
      </c>
      <c r="AC24" s="17">
        <f t="shared" si="18"/>
        <v>0</v>
      </c>
      <c r="AD24" s="17">
        <f t="shared" si="8"/>
        <v>-63.875324324324424</v>
      </c>
      <c r="AE24" s="8">
        <v>11.7</v>
      </c>
      <c r="AF24" s="28">
        <f t="shared" si="9"/>
        <v>72829.059829059828</v>
      </c>
      <c r="AG24" s="28">
        <f t="shared" si="19"/>
        <v>46059.45945945946</v>
      </c>
      <c r="AH24" s="28">
        <f t="shared" si="10"/>
        <v>51518.888888888898</v>
      </c>
      <c r="AI24" s="42">
        <f t="shared" si="11"/>
        <v>21310.17094017093</v>
      </c>
      <c r="AJ24" s="44">
        <f t="shared" si="12"/>
        <v>18.5</v>
      </c>
      <c r="AK24" s="45">
        <f t="shared" si="13"/>
        <v>46059.45945945946</v>
      </c>
      <c r="AL24" s="45">
        <f t="shared" si="14"/>
        <v>32582.216216216217</v>
      </c>
      <c r="AM24" s="45">
        <f t="shared" si="15"/>
        <v>13477.243243243243</v>
      </c>
      <c r="AN24" s="23">
        <f t="shared" si="20"/>
        <v>1.5811965811965814</v>
      </c>
      <c r="AP24" s="20" t="e">
        <f>IF(AH24/S24&lt;#REF!,AH24,0)</f>
        <v>#REF!</v>
      </c>
      <c r="AQ24" s="11" t="e">
        <f>IF(AP24&gt;0,(#REF!*S24-AP24)*AE24/1000*1.302*4,0)</f>
        <v>#REF!</v>
      </c>
    </row>
    <row r="25" spans="1:43" x14ac:dyDescent="0.25">
      <c r="A25" s="8" t="s">
        <v>19</v>
      </c>
      <c r="B25" s="30" t="s">
        <v>282</v>
      </c>
      <c r="C25" s="8">
        <v>78</v>
      </c>
      <c r="D25" s="8">
        <v>70</v>
      </c>
      <c r="E25" s="8">
        <v>26</v>
      </c>
      <c r="F25" s="8">
        <f t="shared" si="0"/>
        <v>174</v>
      </c>
      <c r="G25" s="8">
        <v>2</v>
      </c>
      <c r="H25" s="8">
        <v>3</v>
      </c>
      <c r="J25" s="8">
        <f t="shared" si="1"/>
        <v>5</v>
      </c>
      <c r="K25" s="8">
        <v>1</v>
      </c>
      <c r="L25" s="8">
        <v>0</v>
      </c>
      <c r="M25" s="8">
        <v>0</v>
      </c>
      <c r="N25" s="8">
        <f t="shared" si="2"/>
        <v>1</v>
      </c>
      <c r="O25" s="8">
        <v>4</v>
      </c>
      <c r="P25" s="8">
        <v>5</v>
      </c>
      <c r="Q25" s="8">
        <v>2</v>
      </c>
      <c r="R25" s="8">
        <f t="shared" si="3"/>
        <v>11</v>
      </c>
      <c r="S25" s="31">
        <v>2.2000000000000002</v>
      </c>
      <c r="T25" s="30">
        <v>1.25</v>
      </c>
      <c r="U25" s="66">
        <f>IF(A25='Свод по районам'!$A$7,'Свод по районам'!$G$7,0)</f>
        <v>1.6565860580005747</v>
      </c>
      <c r="V25" s="30">
        <f t="shared" si="4"/>
        <v>864.6</v>
      </c>
      <c r="W25" s="12">
        <f t="shared" si="16"/>
        <v>558.14230366492154</v>
      </c>
      <c r="X25" s="11">
        <v>617.91200000000003</v>
      </c>
      <c r="Y25" s="17">
        <f t="shared" si="5"/>
        <v>246.68799999999999</v>
      </c>
      <c r="Z25" s="17">
        <f t="shared" si="17"/>
        <v>246.68799999999999</v>
      </c>
      <c r="AA25" s="17">
        <f t="shared" si="6"/>
        <v>0</v>
      </c>
      <c r="AB25" s="20">
        <f t="shared" si="7"/>
        <v>-59.769696335078493</v>
      </c>
      <c r="AC25" s="17">
        <f t="shared" si="18"/>
        <v>0</v>
      </c>
      <c r="AD25" s="17">
        <f t="shared" si="8"/>
        <v>-59.769696335078493</v>
      </c>
      <c r="AE25" s="8">
        <v>13.7</v>
      </c>
      <c r="AF25" s="28">
        <f t="shared" si="9"/>
        <v>63109.489051094897</v>
      </c>
      <c r="AG25" s="28">
        <f t="shared" si="19"/>
        <v>40740.314136125664</v>
      </c>
      <c r="AH25" s="28">
        <f t="shared" si="10"/>
        <v>45103.065693430668</v>
      </c>
      <c r="AI25" s="42">
        <f t="shared" si="11"/>
        <v>18006.423357664229</v>
      </c>
      <c r="AJ25" s="44">
        <f t="shared" si="12"/>
        <v>21.222222222222221</v>
      </c>
      <c r="AK25" s="45">
        <f t="shared" si="13"/>
        <v>40740.314136125657</v>
      </c>
      <c r="AL25" s="45">
        <f t="shared" si="14"/>
        <v>29116.272251308903</v>
      </c>
      <c r="AM25" s="45">
        <f t="shared" si="15"/>
        <v>11624.041884816754</v>
      </c>
      <c r="AN25" s="23">
        <f t="shared" si="20"/>
        <v>1.5490673154906731</v>
      </c>
      <c r="AP25" s="20" t="e">
        <f>IF(AH25/S25&lt;#REF!,AH25,0)</f>
        <v>#REF!</v>
      </c>
      <c r="AQ25" s="11" t="e">
        <f>IF(AP25&gt;0,(#REF!*S25-AP25)*AE25/1000*1.302*4,0)</f>
        <v>#REF!</v>
      </c>
    </row>
    <row r="26" spans="1:43" x14ac:dyDescent="0.25">
      <c r="A26" s="8" t="s">
        <v>20</v>
      </c>
      <c r="B26" s="30" t="s">
        <v>284</v>
      </c>
      <c r="C26" s="8">
        <v>230</v>
      </c>
      <c r="D26" s="8">
        <v>278</v>
      </c>
      <c r="E26" s="8">
        <v>50</v>
      </c>
      <c r="F26" s="8">
        <f t="shared" si="0"/>
        <v>558</v>
      </c>
      <c r="G26" s="8">
        <v>4</v>
      </c>
      <c r="H26" s="8">
        <v>6</v>
      </c>
      <c r="J26" s="8">
        <f t="shared" si="1"/>
        <v>10</v>
      </c>
      <c r="K26" s="8">
        <v>5</v>
      </c>
      <c r="L26" s="8">
        <v>3</v>
      </c>
      <c r="M26" s="8">
        <v>0</v>
      </c>
      <c r="N26" s="8">
        <f t="shared" si="2"/>
        <v>8</v>
      </c>
      <c r="O26" s="8">
        <v>9</v>
      </c>
      <c r="P26" s="8">
        <v>12</v>
      </c>
      <c r="Q26" s="8">
        <v>2</v>
      </c>
      <c r="R26" s="8">
        <f t="shared" si="3"/>
        <v>23</v>
      </c>
      <c r="S26" s="31">
        <v>1.5</v>
      </c>
      <c r="T26" s="30">
        <v>1.25</v>
      </c>
      <c r="U26" s="66">
        <f>IF(A26='Свод по районам'!$A$8,'Свод по районам'!$G$8,0)</f>
        <v>1.4355202218851693</v>
      </c>
      <c r="V26" s="30">
        <f t="shared" si="4"/>
        <v>1785.4</v>
      </c>
      <c r="W26" s="12">
        <f t="shared" si="16"/>
        <v>1216.4464450127878</v>
      </c>
      <c r="X26" s="11">
        <v>1129.6490000000001</v>
      </c>
      <c r="Y26" s="17">
        <f t="shared" si="5"/>
        <v>655.75099999999998</v>
      </c>
      <c r="Z26" s="17">
        <f t="shared" si="17"/>
        <v>655.75099999999998</v>
      </c>
      <c r="AA26" s="17">
        <f t="shared" si="6"/>
        <v>0</v>
      </c>
      <c r="AB26" s="20">
        <f t="shared" si="7"/>
        <v>86.797445012787648</v>
      </c>
      <c r="AC26" s="17">
        <f t="shared" si="18"/>
        <v>86.797445012787648</v>
      </c>
      <c r="AD26" s="17">
        <f t="shared" si="8"/>
        <v>0</v>
      </c>
      <c r="AE26" s="8">
        <v>29.6</v>
      </c>
      <c r="AF26" s="28">
        <f t="shared" si="9"/>
        <v>60317.567567567567</v>
      </c>
      <c r="AG26" s="28">
        <f t="shared" si="19"/>
        <v>41096.163682864448</v>
      </c>
      <c r="AH26" s="28">
        <f t="shared" si="10"/>
        <v>38163.817567567567</v>
      </c>
      <c r="AI26" s="42">
        <f t="shared" si="11"/>
        <v>22153.75</v>
      </c>
      <c r="AJ26" s="44">
        <f t="shared" si="12"/>
        <v>43.444444444444443</v>
      </c>
      <c r="AK26" s="45">
        <f t="shared" si="13"/>
        <v>41096.163682864455</v>
      </c>
      <c r="AL26" s="45">
        <f t="shared" si="14"/>
        <v>26002.150895140669</v>
      </c>
      <c r="AM26" s="45">
        <f t="shared" si="15"/>
        <v>15094.012787723786</v>
      </c>
      <c r="AN26" s="23">
        <f t="shared" si="20"/>
        <v>1.4677177177177176</v>
      </c>
      <c r="AP26" s="20" t="e">
        <f>IF(AH26/S26&lt;#REF!,AH26,0)</f>
        <v>#REF!</v>
      </c>
      <c r="AQ26" s="11" t="e">
        <f>IF(AP26&gt;0,(#REF!*S26-AP26)*AE26/1000*1.302*4,0)</f>
        <v>#REF!</v>
      </c>
    </row>
    <row r="27" spans="1:43" x14ac:dyDescent="0.25">
      <c r="A27" s="8" t="s">
        <v>20</v>
      </c>
      <c r="B27" s="30" t="s">
        <v>285</v>
      </c>
      <c r="C27" s="8">
        <v>172</v>
      </c>
      <c r="D27" s="8">
        <v>230</v>
      </c>
      <c r="E27" s="8">
        <v>43</v>
      </c>
      <c r="F27" s="8">
        <f t="shared" si="0"/>
        <v>445</v>
      </c>
      <c r="G27" s="8">
        <v>2</v>
      </c>
      <c r="H27" s="8">
        <v>4</v>
      </c>
      <c r="J27" s="8">
        <f t="shared" si="1"/>
        <v>6</v>
      </c>
      <c r="K27" s="8">
        <v>7</v>
      </c>
      <c r="L27" s="8">
        <v>4</v>
      </c>
      <c r="M27" s="8">
        <v>0</v>
      </c>
      <c r="N27" s="8">
        <f t="shared" si="2"/>
        <v>11</v>
      </c>
      <c r="O27" s="8">
        <v>8</v>
      </c>
      <c r="P27" s="8">
        <v>10</v>
      </c>
      <c r="Q27" s="8">
        <v>2</v>
      </c>
      <c r="R27" s="8">
        <f t="shared" si="3"/>
        <v>20</v>
      </c>
      <c r="S27" s="31">
        <v>1.5</v>
      </c>
      <c r="T27" s="30">
        <v>1.25</v>
      </c>
      <c r="U27" s="66">
        <f>IF(A27='Свод по районам'!$A$8,'Свод по районам'!$G$8,0)</f>
        <v>1.4355202218851693</v>
      </c>
      <c r="V27" s="30">
        <f t="shared" si="4"/>
        <v>1423.1</v>
      </c>
      <c r="W27" s="12">
        <f t="shared" si="16"/>
        <v>979.19724770642199</v>
      </c>
      <c r="X27" s="11">
        <v>822.95200000000011</v>
      </c>
      <c r="Y27" s="17">
        <f t="shared" si="5"/>
        <v>600.1479999999998</v>
      </c>
      <c r="Z27" s="17">
        <f t="shared" si="17"/>
        <v>600.1479999999998</v>
      </c>
      <c r="AA27" s="17">
        <f t="shared" si="6"/>
        <v>0</v>
      </c>
      <c r="AB27" s="20">
        <f t="shared" si="7"/>
        <v>156.24524770642188</v>
      </c>
      <c r="AC27" s="17">
        <f t="shared" si="18"/>
        <v>156.24524770642188</v>
      </c>
      <c r="AD27" s="17">
        <f t="shared" si="8"/>
        <v>0</v>
      </c>
      <c r="AE27" s="8">
        <v>25</v>
      </c>
      <c r="AF27" s="28">
        <f t="shared" si="9"/>
        <v>56924</v>
      </c>
      <c r="AG27" s="28">
        <f t="shared" si="19"/>
        <v>39167.889908256882</v>
      </c>
      <c r="AH27" s="28">
        <f t="shared" si="10"/>
        <v>32918.080000000002</v>
      </c>
      <c r="AI27" s="42">
        <f t="shared" si="11"/>
        <v>24005.919999999998</v>
      </c>
      <c r="AJ27" s="44">
        <f t="shared" si="12"/>
        <v>36.333333333333336</v>
      </c>
      <c r="AK27" s="45">
        <f t="shared" si="13"/>
        <v>39167.889908256875</v>
      </c>
      <c r="AL27" s="45">
        <f t="shared" si="14"/>
        <v>22650.055045871562</v>
      </c>
      <c r="AM27" s="45">
        <f t="shared" si="15"/>
        <v>16517.834862385313</v>
      </c>
      <c r="AN27" s="23">
        <f t="shared" si="20"/>
        <v>1.4533333333333334</v>
      </c>
      <c r="AP27" s="20" t="e">
        <f>IF(AH27/S27&lt;#REF!,AH27,0)</f>
        <v>#REF!</v>
      </c>
      <c r="AQ27" s="11" t="e">
        <f>IF(AP27&gt;0,(#REF!*S27-AP27)*AE27/1000*1.302*4,0)</f>
        <v>#REF!</v>
      </c>
    </row>
    <row r="28" spans="1:43" x14ac:dyDescent="0.25">
      <c r="A28" s="8" t="s">
        <v>20</v>
      </c>
      <c r="B28" s="30" t="s">
        <v>286</v>
      </c>
      <c r="C28" s="8">
        <v>108</v>
      </c>
      <c r="D28" s="8">
        <v>125</v>
      </c>
      <c r="E28" s="8">
        <v>10</v>
      </c>
      <c r="F28" s="8">
        <f t="shared" si="0"/>
        <v>243</v>
      </c>
      <c r="G28" s="8">
        <v>3</v>
      </c>
      <c r="H28" s="8">
        <v>1</v>
      </c>
      <c r="J28" s="8">
        <f t="shared" si="1"/>
        <v>4</v>
      </c>
      <c r="K28" s="8">
        <v>3</v>
      </c>
      <c r="L28" s="8">
        <v>1</v>
      </c>
      <c r="M28" s="8">
        <v>0</v>
      </c>
      <c r="N28" s="8">
        <f t="shared" si="2"/>
        <v>4</v>
      </c>
      <c r="O28" s="8">
        <v>5</v>
      </c>
      <c r="P28" s="8">
        <v>6</v>
      </c>
      <c r="Q28" s="8">
        <v>2</v>
      </c>
      <c r="R28" s="8">
        <f t="shared" si="3"/>
        <v>13</v>
      </c>
      <c r="S28" s="31">
        <v>1.5</v>
      </c>
      <c r="T28" s="30">
        <v>1.25</v>
      </c>
      <c r="U28" s="66">
        <f>IF(A28='Свод по районам'!$A$8,'Свод по районам'!$G$8,0)</f>
        <v>1.4355202218851693</v>
      </c>
      <c r="V28" s="30">
        <f t="shared" si="4"/>
        <v>739.4</v>
      </c>
      <c r="W28" s="12">
        <f t="shared" si="16"/>
        <v>407.10494117647062</v>
      </c>
      <c r="X28" s="11">
        <v>473.178</v>
      </c>
      <c r="Y28" s="17">
        <f t="shared" si="5"/>
        <v>266.22199999999998</v>
      </c>
      <c r="Z28" s="17">
        <f t="shared" si="17"/>
        <v>266.22199999999998</v>
      </c>
      <c r="AA28" s="17">
        <f t="shared" si="6"/>
        <v>0</v>
      </c>
      <c r="AB28" s="20">
        <f t="shared" si="7"/>
        <v>-66.073058823529379</v>
      </c>
      <c r="AC28" s="17">
        <f t="shared" si="18"/>
        <v>0</v>
      </c>
      <c r="AD28" s="17">
        <f t="shared" si="8"/>
        <v>-66.073058823529379</v>
      </c>
      <c r="AE28" s="8">
        <v>13</v>
      </c>
      <c r="AF28" s="28">
        <f t="shared" si="9"/>
        <v>56876.923076923078</v>
      </c>
      <c r="AG28" s="28">
        <f t="shared" si="19"/>
        <v>31315.764705882353</v>
      </c>
      <c r="AH28" s="28">
        <f t="shared" si="10"/>
        <v>36398.307692307688</v>
      </c>
      <c r="AI28" s="42">
        <f t="shared" si="11"/>
        <v>20478.61538461539</v>
      </c>
      <c r="AJ28" s="44">
        <f t="shared" si="12"/>
        <v>23.611111111111107</v>
      </c>
      <c r="AK28" s="45">
        <f t="shared" si="13"/>
        <v>31315.764705882357</v>
      </c>
      <c r="AL28" s="45">
        <f t="shared" si="14"/>
        <v>20040.480000000003</v>
      </c>
      <c r="AM28" s="45">
        <f t="shared" si="15"/>
        <v>11275.284705882354</v>
      </c>
      <c r="AN28" s="23">
        <f t="shared" si="20"/>
        <v>1.816239316239316</v>
      </c>
      <c r="AP28" s="20" t="e">
        <f>IF(AH28/S28&lt;#REF!,AH28,0)</f>
        <v>#REF!</v>
      </c>
      <c r="AQ28" s="11" t="e">
        <f>IF(AP28&gt;0,(#REF!*S28-AP28)*AE28/1000*1.302*4,0)</f>
        <v>#REF!</v>
      </c>
    </row>
    <row r="29" spans="1:43" x14ac:dyDescent="0.25">
      <c r="A29" s="8" t="s">
        <v>20</v>
      </c>
      <c r="B29" s="30" t="s">
        <v>287</v>
      </c>
      <c r="C29" s="8">
        <v>107</v>
      </c>
      <c r="D29" s="8">
        <v>120</v>
      </c>
      <c r="E29" s="8">
        <v>11</v>
      </c>
      <c r="F29" s="8">
        <f t="shared" si="0"/>
        <v>238</v>
      </c>
      <c r="G29" s="8">
        <v>2</v>
      </c>
      <c r="H29" s="8">
        <v>2</v>
      </c>
      <c r="J29" s="8">
        <f t="shared" si="1"/>
        <v>4</v>
      </c>
      <c r="K29" s="8">
        <v>10</v>
      </c>
      <c r="L29" s="8">
        <v>6</v>
      </c>
      <c r="M29" s="8">
        <v>0</v>
      </c>
      <c r="N29" s="8">
        <f t="shared" si="2"/>
        <v>16</v>
      </c>
      <c r="O29" s="8">
        <v>5</v>
      </c>
      <c r="P29" s="8">
        <v>6</v>
      </c>
      <c r="Q29" s="8">
        <v>1</v>
      </c>
      <c r="R29" s="8">
        <f t="shared" si="3"/>
        <v>12</v>
      </c>
      <c r="S29" s="31">
        <v>1.5</v>
      </c>
      <c r="T29" s="30">
        <v>1.25</v>
      </c>
      <c r="U29" s="66">
        <f>IF(A29='Свод по районам'!$A$8,'Свод по районам'!$G$8,0)</f>
        <v>1.4355202218851693</v>
      </c>
      <c r="V29" s="30">
        <f t="shared" si="4"/>
        <v>735.4</v>
      </c>
      <c r="W29" s="12">
        <f t="shared" si="16"/>
        <v>601.07693877551026</v>
      </c>
      <c r="X29" s="11">
        <v>654.56499999999994</v>
      </c>
      <c r="Y29" s="17">
        <f t="shared" si="5"/>
        <v>80.835000000000036</v>
      </c>
      <c r="Z29" s="17">
        <f t="shared" si="17"/>
        <v>80.835000000000036</v>
      </c>
      <c r="AA29" s="17">
        <f t="shared" si="6"/>
        <v>0</v>
      </c>
      <c r="AB29" s="20">
        <f t="shared" si="7"/>
        <v>-53.488061224489684</v>
      </c>
      <c r="AC29" s="17">
        <f t="shared" si="18"/>
        <v>0</v>
      </c>
      <c r="AD29" s="17">
        <f t="shared" si="8"/>
        <v>-53.488061224489684</v>
      </c>
      <c r="AE29" s="8">
        <v>17.8</v>
      </c>
      <c r="AF29" s="28">
        <f t="shared" si="9"/>
        <v>41314.606741573029</v>
      </c>
      <c r="AG29" s="28">
        <f t="shared" si="19"/>
        <v>33768.367346938772</v>
      </c>
      <c r="AH29" s="28">
        <f t="shared" si="10"/>
        <v>36773.314606741573</v>
      </c>
      <c r="AI29" s="42">
        <f t="shared" si="11"/>
        <v>4541.2921348314558</v>
      </c>
      <c r="AJ29" s="44">
        <f t="shared" si="12"/>
        <v>21.777777777777775</v>
      </c>
      <c r="AK29" s="45">
        <f t="shared" si="13"/>
        <v>33768.36734693878</v>
      </c>
      <c r="AL29" s="45">
        <f t="shared" si="14"/>
        <v>30056.556122448983</v>
      </c>
      <c r="AM29" s="45">
        <f t="shared" si="15"/>
        <v>3711.8112244897966</v>
      </c>
      <c r="AN29" s="23">
        <f t="shared" si="20"/>
        <v>1.2234706616729087</v>
      </c>
      <c r="AP29" s="20" t="e">
        <f>IF(AH29/S29&lt;#REF!,AH29,0)</f>
        <v>#REF!</v>
      </c>
      <c r="AQ29" s="11" t="e">
        <f>IF(AP29&gt;0,(#REF!*S29-AP29)*AE29/1000*1.302*4,0)</f>
        <v>#REF!</v>
      </c>
    </row>
    <row r="30" spans="1:43" x14ac:dyDescent="0.25">
      <c r="A30" s="8" t="s">
        <v>20</v>
      </c>
      <c r="B30" s="30" t="s">
        <v>288</v>
      </c>
      <c r="C30" s="8">
        <v>89</v>
      </c>
      <c r="D30" s="8">
        <v>109</v>
      </c>
      <c r="E30" s="8">
        <v>26</v>
      </c>
      <c r="F30" s="8">
        <f t="shared" si="0"/>
        <v>224</v>
      </c>
      <c r="G30" s="8">
        <v>1</v>
      </c>
      <c r="H30" s="8">
        <v>2</v>
      </c>
      <c r="J30" s="8">
        <f t="shared" si="1"/>
        <v>3</v>
      </c>
      <c r="K30" s="8">
        <v>3</v>
      </c>
      <c r="L30" s="8">
        <v>3</v>
      </c>
      <c r="M30" s="8">
        <v>0</v>
      </c>
      <c r="N30" s="8">
        <f t="shared" si="2"/>
        <v>6</v>
      </c>
      <c r="O30" s="8">
        <v>4</v>
      </c>
      <c r="P30" s="8">
        <v>5</v>
      </c>
      <c r="Q30" s="8">
        <v>2</v>
      </c>
      <c r="R30" s="8">
        <f t="shared" si="3"/>
        <v>11</v>
      </c>
      <c r="S30" s="31">
        <v>1.5</v>
      </c>
      <c r="T30" s="30">
        <v>1.25</v>
      </c>
      <c r="U30" s="66">
        <f>IF(A30='Свод по районам'!$A$8,'Свод по районам'!$G$8,0)</f>
        <v>1.4355202218851693</v>
      </c>
      <c r="V30" s="30">
        <f t="shared" si="4"/>
        <v>721.9</v>
      </c>
      <c r="W30" s="12">
        <f t="shared" si="16"/>
        <v>504.73338842975198</v>
      </c>
      <c r="X30" s="11">
        <v>619.95800000000008</v>
      </c>
      <c r="Y30" s="17">
        <f t="shared" si="5"/>
        <v>101.94199999999989</v>
      </c>
      <c r="Z30" s="17">
        <f t="shared" si="17"/>
        <v>101.94199999999989</v>
      </c>
      <c r="AA30" s="17">
        <f t="shared" si="6"/>
        <v>0</v>
      </c>
      <c r="AB30" s="20">
        <f t="shared" si="7"/>
        <v>-115.2246115702481</v>
      </c>
      <c r="AC30" s="17">
        <f t="shared" si="18"/>
        <v>0</v>
      </c>
      <c r="AD30" s="17">
        <f t="shared" si="8"/>
        <v>-115.2246115702481</v>
      </c>
      <c r="AE30" s="8">
        <v>14.1</v>
      </c>
      <c r="AF30" s="28">
        <f t="shared" si="9"/>
        <v>51198.581560283688</v>
      </c>
      <c r="AG30" s="28">
        <f t="shared" si="19"/>
        <v>35796.694214876028</v>
      </c>
      <c r="AH30" s="28">
        <f t="shared" si="10"/>
        <v>43968.652482269514</v>
      </c>
      <c r="AI30" s="42">
        <f t="shared" si="11"/>
        <v>7229.9290780141746</v>
      </c>
      <c r="AJ30" s="44">
        <f t="shared" si="12"/>
        <v>20.166666666666668</v>
      </c>
      <c r="AK30" s="45">
        <f t="shared" si="13"/>
        <v>35796.694214876028</v>
      </c>
      <c r="AL30" s="45">
        <f t="shared" si="14"/>
        <v>30741.719008264463</v>
      </c>
      <c r="AM30" s="45">
        <f t="shared" si="15"/>
        <v>5054.9752066115652</v>
      </c>
      <c r="AN30" s="23">
        <f t="shared" si="20"/>
        <v>1.4302600472813241</v>
      </c>
      <c r="AP30" s="20" t="e">
        <f>IF(AH30/S30&lt;#REF!,AH30,0)</f>
        <v>#REF!</v>
      </c>
      <c r="AQ30" s="11" t="e">
        <f>IF(AP30&gt;0,(#REF!*S30-AP30)*AE30/1000*1.302*4,0)</f>
        <v>#REF!</v>
      </c>
    </row>
    <row r="31" spans="1:43" x14ac:dyDescent="0.25">
      <c r="A31" s="8" t="s">
        <v>20</v>
      </c>
      <c r="B31" s="30" t="s">
        <v>289</v>
      </c>
      <c r="C31" s="8">
        <v>65</v>
      </c>
      <c r="D31" s="8">
        <v>88</v>
      </c>
      <c r="E31" s="8">
        <v>16</v>
      </c>
      <c r="F31" s="8">
        <f t="shared" si="0"/>
        <v>169</v>
      </c>
      <c r="G31" s="8">
        <v>1</v>
      </c>
      <c r="J31" s="8">
        <f t="shared" si="1"/>
        <v>1</v>
      </c>
      <c r="K31" s="8">
        <v>2</v>
      </c>
      <c r="L31" s="8">
        <v>2</v>
      </c>
      <c r="M31" s="8">
        <v>2</v>
      </c>
      <c r="N31" s="8">
        <f t="shared" si="2"/>
        <v>6</v>
      </c>
      <c r="O31" s="8">
        <v>4</v>
      </c>
      <c r="P31" s="8">
        <v>5</v>
      </c>
      <c r="Q31" s="8">
        <v>1</v>
      </c>
      <c r="R31" s="8">
        <f t="shared" si="3"/>
        <v>10</v>
      </c>
      <c r="S31" s="31">
        <v>1.5</v>
      </c>
      <c r="T31" s="30">
        <v>1.25</v>
      </c>
      <c r="U31" s="66">
        <f>IF(A31='Свод по районам'!$A$8,'Свод по районам'!$G$8,0)</f>
        <v>1.4355202218851693</v>
      </c>
      <c r="V31" s="30">
        <f t="shared" si="4"/>
        <v>525.4</v>
      </c>
      <c r="W31" s="12">
        <f t="shared" si="16"/>
        <v>465.10819672131151</v>
      </c>
      <c r="X31" s="11">
        <v>444.56199999999995</v>
      </c>
      <c r="Y31" s="17">
        <f t="shared" si="5"/>
        <v>80.838000000000022</v>
      </c>
      <c r="Z31" s="17">
        <f t="shared" si="17"/>
        <v>80.838000000000022</v>
      </c>
      <c r="AA31" s="17">
        <f t="shared" si="6"/>
        <v>0</v>
      </c>
      <c r="AB31" s="20">
        <f t="shared" si="7"/>
        <v>20.54619672131156</v>
      </c>
      <c r="AC31" s="17">
        <f t="shared" si="18"/>
        <v>20.54619672131156</v>
      </c>
      <c r="AD31" s="17">
        <f t="shared" si="8"/>
        <v>0</v>
      </c>
      <c r="AE31" s="8">
        <v>15</v>
      </c>
      <c r="AF31" s="28">
        <f t="shared" si="9"/>
        <v>35026.666666666664</v>
      </c>
      <c r="AG31" s="28">
        <f t="shared" si="19"/>
        <v>31007.2131147541</v>
      </c>
      <c r="AH31" s="28">
        <f t="shared" si="10"/>
        <v>29637.466666666664</v>
      </c>
      <c r="AI31" s="42">
        <f t="shared" si="11"/>
        <v>5389.2000000000007</v>
      </c>
      <c r="AJ31" s="44">
        <f t="shared" si="12"/>
        <v>16.944444444444443</v>
      </c>
      <c r="AK31" s="45">
        <f t="shared" si="13"/>
        <v>31007.2131147541</v>
      </c>
      <c r="AL31" s="45">
        <f t="shared" si="14"/>
        <v>26236.445901639341</v>
      </c>
      <c r="AM31" s="45">
        <f t="shared" si="15"/>
        <v>4770.7672131147592</v>
      </c>
      <c r="AN31" s="23">
        <f t="shared" si="20"/>
        <v>1.1296296296296295</v>
      </c>
      <c r="AP31" s="20" t="e">
        <f>IF(AH31/S31&lt;#REF!,AH31,0)</f>
        <v>#REF!</v>
      </c>
      <c r="AQ31" s="11" t="e">
        <f>IF(AP31&gt;0,(#REF!*S31-AP31)*AE31/1000*1.302*4,0)</f>
        <v>#REF!</v>
      </c>
    </row>
    <row r="32" spans="1:43" x14ac:dyDescent="0.25">
      <c r="A32" s="8" t="s">
        <v>20</v>
      </c>
      <c r="B32" s="30" t="s">
        <v>290</v>
      </c>
      <c r="C32" s="8">
        <v>67</v>
      </c>
      <c r="D32" s="8">
        <v>79</v>
      </c>
      <c r="E32" s="8">
        <v>23</v>
      </c>
      <c r="F32" s="8">
        <f t="shared" si="0"/>
        <v>169</v>
      </c>
      <c r="J32" s="8">
        <f t="shared" si="1"/>
        <v>0</v>
      </c>
      <c r="K32" s="8">
        <v>3</v>
      </c>
      <c r="L32" s="8">
        <v>3</v>
      </c>
      <c r="M32" s="8">
        <v>1</v>
      </c>
      <c r="N32" s="8">
        <f t="shared" si="2"/>
        <v>7</v>
      </c>
      <c r="O32" s="8">
        <v>4</v>
      </c>
      <c r="P32" s="8">
        <v>5</v>
      </c>
      <c r="Q32" s="8">
        <v>2</v>
      </c>
      <c r="R32" s="8">
        <f t="shared" si="3"/>
        <v>11</v>
      </c>
      <c r="S32" s="31">
        <v>1.5</v>
      </c>
      <c r="T32" s="30">
        <v>1.25</v>
      </c>
      <c r="U32" s="66">
        <f>IF(A32='Свод по районам'!$A$8,'Свод по районам'!$G$8,0)</f>
        <v>1.4355202218851693</v>
      </c>
      <c r="V32" s="30">
        <f t="shared" si="4"/>
        <v>526.6</v>
      </c>
      <c r="W32" s="12">
        <f t="shared" si="16"/>
        <v>344.4248648648649</v>
      </c>
      <c r="X32" s="11">
        <v>447.59600000000006</v>
      </c>
      <c r="Y32" s="17">
        <f t="shared" si="5"/>
        <v>79.003999999999962</v>
      </c>
      <c r="Z32" s="17">
        <f t="shared" si="17"/>
        <v>79.003999999999962</v>
      </c>
      <c r="AA32" s="17">
        <f t="shared" si="6"/>
        <v>0</v>
      </c>
      <c r="AB32" s="20">
        <f t="shared" si="7"/>
        <v>-103.17113513513516</v>
      </c>
      <c r="AC32" s="17">
        <f t="shared" si="18"/>
        <v>0</v>
      </c>
      <c r="AD32" s="17">
        <f t="shared" si="8"/>
        <v>-103.17113513513516</v>
      </c>
      <c r="AE32" s="8">
        <v>12.1</v>
      </c>
      <c r="AF32" s="28">
        <f t="shared" si="9"/>
        <v>43520.661157024799</v>
      </c>
      <c r="AG32" s="28">
        <f t="shared" si="19"/>
        <v>28464.864864864867</v>
      </c>
      <c r="AH32" s="28">
        <f t="shared" si="10"/>
        <v>36991.404958677689</v>
      </c>
      <c r="AI32" s="42">
        <f t="shared" si="11"/>
        <v>6529.2561983471096</v>
      </c>
      <c r="AJ32" s="44">
        <f t="shared" si="12"/>
        <v>18.5</v>
      </c>
      <c r="AK32" s="45">
        <f t="shared" si="13"/>
        <v>28464.864864864863</v>
      </c>
      <c r="AL32" s="45">
        <f t="shared" si="14"/>
        <v>24194.37837837838</v>
      </c>
      <c r="AM32" s="45">
        <f t="shared" si="15"/>
        <v>4270.486486486483</v>
      </c>
      <c r="AN32" s="23">
        <f t="shared" si="20"/>
        <v>1.5289256198347108</v>
      </c>
      <c r="AP32" s="20" t="e">
        <f>IF(AH32/S32&lt;#REF!,AH32,0)</f>
        <v>#REF!</v>
      </c>
      <c r="AQ32" s="11" t="e">
        <f>IF(AP32&gt;0,(#REF!*S32-AP32)*AE32/1000*1.302*4,0)</f>
        <v>#REF!</v>
      </c>
    </row>
    <row r="33" spans="1:43" x14ac:dyDescent="0.25">
      <c r="A33" s="8" t="s">
        <v>21</v>
      </c>
      <c r="B33" s="30" t="s">
        <v>291</v>
      </c>
      <c r="C33" s="8">
        <v>447</v>
      </c>
      <c r="D33" s="8">
        <v>453</v>
      </c>
      <c r="E33" s="8">
        <v>90</v>
      </c>
      <c r="F33" s="8">
        <f t="shared" si="0"/>
        <v>990</v>
      </c>
      <c r="G33" s="8">
        <v>13</v>
      </c>
      <c r="H33" s="8">
        <v>6</v>
      </c>
      <c r="J33" s="8">
        <f t="shared" si="1"/>
        <v>19</v>
      </c>
      <c r="K33" s="8">
        <v>11</v>
      </c>
      <c r="L33" s="8">
        <v>3</v>
      </c>
      <c r="M33" s="8">
        <v>1</v>
      </c>
      <c r="N33" s="8">
        <f t="shared" si="2"/>
        <v>15</v>
      </c>
      <c r="O33" s="8">
        <v>16</v>
      </c>
      <c r="P33" s="8">
        <v>17</v>
      </c>
      <c r="Q33" s="8">
        <v>3</v>
      </c>
      <c r="R33" s="8">
        <f t="shared" si="3"/>
        <v>36</v>
      </c>
      <c r="S33" s="31">
        <v>1.5</v>
      </c>
      <c r="T33" s="30">
        <v>1.25</v>
      </c>
      <c r="U33" s="66">
        <f>IF(A33='Свод по районам'!$A$9,'Свод по районам'!$G$9,0)</f>
        <v>1.4603359394739179</v>
      </c>
      <c r="V33" s="30">
        <f t="shared" si="4"/>
        <v>3126.3</v>
      </c>
      <c r="W33" s="12">
        <f t="shared" si="16"/>
        <v>2134.9842681929681</v>
      </c>
      <c r="X33" s="11">
        <v>1932.3905900000002</v>
      </c>
      <c r="Y33" s="17">
        <f t="shared" si="5"/>
        <v>1193.90941</v>
      </c>
      <c r="Z33" s="17">
        <f t="shared" si="17"/>
        <v>1193.90941</v>
      </c>
      <c r="AA33" s="17">
        <f t="shared" si="6"/>
        <v>0</v>
      </c>
      <c r="AB33" s="20">
        <f t="shared" si="7"/>
        <v>202.5936781929679</v>
      </c>
      <c r="AC33" s="17">
        <f t="shared" si="18"/>
        <v>202.5936781929679</v>
      </c>
      <c r="AD33" s="17">
        <f t="shared" si="8"/>
        <v>0</v>
      </c>
      <c r="AE33" s="8">
        <v>46.4</v>
      </c>
      <c r="AF33" s="28">
        <f t="shared" si="9"/>
        <v>67377.155172413797</v>
      </c>
      <c r="AG33" s="28">
        <f t="shared" si="19"/>
        <v>46012.59198691741</v>
      </c>
      <c r="AH33" s="28">
        <f t="shared" si="10"/>
        <v>41646.348922413803</v>
      </c>
      <c r="AI33" s="42">
        <f t="shared" si="11"/>
        <v>25730.806249999994</v>
      </c>
      <c r="AJ33" s="44">
        <f t="shared" si="12"/>
        <v>67.944444444444443</v>
      </c>
      <c r="AK33" s="45">
        <f t="shared" si="13"/>
        <v>46012.591986917418</v>
      </c>
      <c r="AL33" s="45">
        <f t="shared" si="14"/>
        <v>28440.744578904338</v>
      </c>
      <c r="AM33" s="45">
        <f t="shared" si="15"/>
        <v>17571.84740801308</v>
      </c>
      <c r="AN33" s="23">
        <f t="shared" si="20"/>
        <v>1.4643199233716475</v>
      </c>
      <c r="AP33" s="20" t="e">
        <f>IF(AH33/S33&lt;#REF!,AH33,0)</f>
        <v>#REF!</v>
      </c>
      <c r="AQ33" s="11" t="e">
        <f>IF(AP33&gt;0,(#REF!*S33-AP33)*AE33/1000*1.302*4,0)</f>
        <v>#REF!</v>
      </c>
    </row>
    <row r="34" spans="1:43" x14ac:dyDescent="0.25">
      <c r="A34" s="8" t="s">
        <v>21</v>
      </c>
      <c r="B34" s="30" t="s">
        <v>297</v>
      </c>
      <c r="C34" s="8">
        <v>154</v>
      </c>
      <c r="D34" s="8">
        <v>156</v>
      </c>
      <c r="E34" s="8">
        <v>29</v>
      </c>
      <c r="F34" s="8">
        <f t="shared" si="0"/>
        <v>339</v>
      </c>
      <c r="J34" s="8">
        <f t="shared" si="1"/>
        <v>0</v>
      </c>
      <c r="K34" s="8">
        <v>3</v>
      </c>
      <c r="L34" s="8">
        <v>2</v>
      </c>
      <c r="M34" s="8">
        <v>1</v>
      </c>
      <c r="N34" s="8">
        <f t="shared" si="2"/>
        <v>6</v>
      </c>
      <c r="O34" s="8">
        <v>7</v>
      </c>
      <c r="P34" s="8">
        <v>8</v>
      </c>
      <c r="Q34" s="8">
        <v>2</v>
      </c>
      <c r="R34" s="8">
        <f t="shared" si="3"/>
        <v>17</v>
      </c>
      <c r="S34" s="31">
        <v>1.5</v>
      </c>
      <c r="T34" s="30">
        <v>1.25</v>
      </c>
      <c r="U34" s="66">
        <f>IF(A34='Свод по районам'!$A$9,'Свод по районам'!$G$9,0)</f>
        <v>1.4603359394739179</v>
      </c>
      <c r="V34" s="30">
        <f t="shared" si="4"/>
        <v>998.9</v>
      </c>
      <c r="W34" s="12">
        <f t="shared" si="16"/>
        <v>563.66499999999996</v>
      </c>
      <c r="X34" s="11">
        <v>725.45027000000005</v>
      </c>
      <c r="Y34" s="17">
        <f t="shared" si="5"/>
        <v>273.44972999999993</v>
      </c>
      <c r="Z34" s="17">
        <f t="shared" si="17"/>
        <v>273.44972999999993</v>
      </c>
      <c r="AA34" s="17">
        <f t="shared" si="6"/>
        <v>0</v>
      </c>
      <c r="AB34" s="20">
        <f t="shared" si="7"/>
        <v>-161.78527000000008</v>
      </c>
      <c r="AC34" s="17">
        <f t="shared" si="18"/>
        <v>0</v>
      </c>
      <c r="AD34" s="17">
        <f t="shared" si="8"/>
        <v>-161.78527000000008</v>
      </c>
      <c r="AE34" s="8">
        <v>15.8</v>
      </c>
      <c r="AF34" s="28">
        <f t="shared" si="9"/>
        <v>63221.518987341769</v>
      </c>
      <c r="AG34" s="28">
        <f t="shared" si="19"/>
        <v>35675</v>
      </c>
      <c r="AH34" s="28">
        <f t="shared" si="10"/>
        <v>45914.574050632917</v>
      </c>
      <c r="AI34" s="42">
        <f t="shared" si="11"/>
        <v>17306.944936708853</v>
      </c>
      <c r="AJ34" s="44">
        <f t="shared" si="12"/>
        <v>28</v>
      </c>
      <c r="AK34" s="45">
        <f t="shared" si="13"/>
        <v>35675</v>
      </c>
      <c r="AL34" s="45">
        <f t="shared" si="14"/>
        <v>25908.938214285714</v>
      </c>
      <c r="AM34" s="45">
        <f t="shared" si="15"/>
        <v>9766.0617857142861</v>
      </c>
      <c r="AN34" s="23">
        <f t="shared" si="20"/>
        <v>1.7721518987341771</v>
      </c>
      <c r="AP34" s="20" t="e">
        <f>IF(AH34/S34&lt;#REF!,AH34,0)</f>
        <v>#REF!</v>
      </c>
      <c r="AQ34" s="11" t="e">
        <f>IF(AP34&gt;0,(#REF!*S34-AP34)*AE34/1000*1.302*4,0)</f>
        <v>#REF!</v>
      </c>
    </row>
    <row r="35" spans="1:43" x14ac:dyDescent="0.25">
      <c r="A35" s="8" t="s">
        <v>21</v>
      </c>
      <c r="B35" s="30" t="s">
        <v>298</v>
      </c>
      <c r="C35" s="8">
        <v>145</v>
      </c>
      <c r="D35" s="8">
        <v>139</v>
      </c>
      <c r="E35" s="8">
        <v>17</v>
      </c>
      <c r="F35" s="8">
        <f t="shared" si="0"/>
        <v>301</v>
      </c>
      <c r="G35" s="8">
        <v>5</v>
      </c>
      <c r="H35" s="8">
        <v>4</v>
      </c>
      <c r="J35" s="8">
        <f t="shared" si="1"/>
        <v>9</v>
      </c>
      <c r="K35" s="8">
        <v>10</v>
      </c>
      <c r="L35" s="8">
        <v>1</v>
      </c>
      <c r="M35" s="8">
        <v>0</v>
      </c>
      <c r="N35" s="8">
        <f t="shared" si="2"/>
        <v>11</v>
      </c>
      <c r="O35" s="8">
        <v>7</v>
      </c>
      <c r="P35" s="8">
        <v>6</v>
      </c>
      <c r="Q35" s="8">
        <v>2</v>
      </c>
      <c r="R35" s="8">
        <f t="shared" si="3"/>
        <v>15</v>
      </c>
      <c r="S35" s="31">
        <v>1.5</v>
      </c>
      <c r="T35" s="30">
        <v>1.25</v>
      </c>
      <c r="U35" s="66">
        <f>IF(A35='Свод по районам'!$A$9,'Свод по районам'!$G$9,0)</f>
        <v>1.4603359394739179</v>
      </c>
      <c r="V35" s="30">
        <f t="shared" si="4"/>
        <v>961.8</v>
      </c>
      <c r="W35" s="12">
        <f t="shared" si="16"/>
        <v>563.81379310344823</v>
      </c>
      <c r="X35" s="11">
        <v>718.37973999999997</v>
      </c>
      <c r="Y35" s="17">
        <f t="shared" si="5"/>
        <v>243.42025999999998</v>
      </c>
      <c r="Z35" s="17">
        <f t="shared" si="17"/>
        <v>243.42025999999998</v>
      </c>
      <c r="AA35" s="17">
        <f t="shared" si="6"/>
        <v>0</v>
      </c>
      <c r="AB35" s="20">
        <f t="shared" si="7"/>
        <v>-154.56594689655174</v>
      </c>
      <c r="AC35" s="17">
        <f t="shared" si="18"/>
        <v>0</v>
      </c>
      <c r="AD35" s="17">
        <f t="shared" si="8"/>
        <v>-154.56594689655174</v>
      </c>
      <c r="AE35" s="8">
        <v>17</v>
      </c>
      <c r="AF35" s="28">
        <f t="shared" si="9"/>
        <v>56576.470588235286</v>
      </c>
      <c r="AG35" s="28">
        <f t="shared" si="19"/>
        <v>33165.517241379304</v>
      </c>
      <c r="AH35" s="28">
        <f t="shared" si="10"/>
        <v>42257.631764705875</v>
      </c>
      <c r="AI35" s="42">
        <f t="shared" si="11"/>
        <v>14318.838823529411</v>
      </c>
      <c r="AJ35" s="44">
        <f t="shared" si="12"/>
        <v>29</v>
      </c>
      <c r="AK35" s="45">
        <f t="shared" si="13"/>
        <v>33165.517241379304</v>
      </c>
      <c r="AL35" s="45">
        <f t="shared" si="14"/>
        <v>24771.715172413791</v>
      </c>
      <c r="AM35" s="45">
        <f t="shared" si="15"/>
        <v>8393.8020689655132</v>
      </c>
      <c r="AN35" s="23">
        <f t="shared" si="20"/>
        <v>1.7058823529411764</v>
      </c>
      <c r="AP35" s="20" t="e">
        <f>IF(AH35/S35&lt;#REF!,AH35,0)</f>
        <v>#REF!</v>
      </c>
      <c r="AQ35" s="11" t="e">
        <f>IF(AP35&gt;0,(#REF!*S35-AP35)*AE35/1000*1.302*4,0)</f>
        <v>#REF!</v>
      </c>
    </row>
    <row r="36" spans="1:43" x14ac:dyDescent="0.25">
      <c r="A36" s="8" t="s">
        <v>21</v>
      </c>
      <c r="B36" s="30" t="s">
        <v>293</v>
      </c>
      <c r="C36" s="8">
        <v>112</v>
      </c>
      <c r="D36" s="8">
        <v>108</v>
      </c>
      <c r="E36" s="8">
        <v>12</v>
      </c>
      <c r="F36" s="8">
        <f t="shared" si="0"/>
        <v>232</v>
      </c>
      <c r="G36" s="8">
        <v>1</v>
      </c>
      <c r="J36" s="8">
        <f t="shared" si="1"/>
        <v>1</v>
      </c>
      <c r="K36" s="8">
        <v>6</v>
      </c>
      <c r="L36" s="8">
        <v>1</v>
      </c>
      <c r="M36" s="8">
        <v>0</v>
      </c>
      <c r="N36" s="8">
        <f t="shared" si="2"/>
        <v>7</v>
      </c>
      <c r="O36" s="8">
        <v>6</v>
      </c>
      <c r="P36" s="8">
        <v>5</v>
      </c>
      <c r="Q36" s="8">
        <v>1</v>
      </c>
      <c r="R36" s="8">
        <f t="shared" si="3"/>
        <v>12</v>
      </c>
      <c r="S36" s="31">
        <v>1.5</v>
      </c>
      <c r="T36" s="30">
        <v>1.25</v>
      </c>
      <c r="U36" s="66">
        <f>IF(A36='Свод по районам'!$A$9,'Свод по районам'!$G$9,0)</f>
        <v>1.4603359394739179</v>
      </c>
      <c r="V36" s="30">
        <f t="shared" si="4"/>
        <v>672.5</v>
      </c>
      <c r="W36" s="12">
        <f t="shared" si="16"/>
        <v>510.94759206798875</v>
      </c>
      <c r="X36" s="11">
        <v>581.45898999999997</v>
      </c>
      <c r="Y36" s="17">
        <f t="shared" si="5"/>
        <v>91.041010000000028</v>
      </c>
      <c r="Z36" s="17">
        <f t="shared" si="17"/>
        <v>91.041010000000028</v>
      </c>
      <c r="AA36" s="17">
        <f t="shared" si="6"/>
        <v>0</v>
      </c>
      <c r="AB36" s="20">
        <f t="shared" si="7"/>
        <v>-70.511397932011221</v>
      </c>
      <c r="AC36" s="17">
        <f t="shared" si="18"/>
        <v>0</v>
      </c>
      <c r="AD36" s="17">
        <f t="shared" si="8"/>
        <v>-70.511397932011221</v>
      </c>
      <c r="AE36" s="8">
        <v>14.9</v>
      </c>
      <c r="AF36" s="28">
        <f t="shared" si="9"/>
        <v>45134.228187919463</v>
      </c>
      <c r="AG36" s="28">
        <f t="shared" si="19"/>
        <v>34291.784702549579</v>
      </c>
      <c r="AH36" s="28">
        <f t="shared" si="10"/>
        <v>39024.0932885906</v>
      </c>
      <c r="AI36" s="42">
        <f t="shared" si="11"/>
        <v>6110.134899328863</v>
      </c>
      <c r="AJ36" s="44">
        <f t="shared" si="12"/>
        <v>19.611111111111107</v>
      </c>
      <c r="AK36" s="45">
        <f t="shared" si="13"/>
        <v>34291.784702549587</v>
      </c>
      <c r="AL36" s="45">
        <f t="shared" si="14"/>
        <v>29649.466912181306</v>
      </c>
      <c r="AM36" s="45">
        <f t="shared" si="15"/>
        <v>4642.3177903682808</v>
      </c>
      <c r="AN36" s="23">
        <f t="shared" si="20"/>
        <v>1.3161819537658461</v>
      </c>
      <c r="AP36" s="20" t="e">
        <f>IF(AH36/S36&lt;#REF!,AH36,0)</f>
        <v>#REF!</v>
      </c>
      <c r="AQ36" s="11" t="e">
        <f>IF(AP36&gt;0,(#REF!*S36-AP36)*AE36/1000*1.302*4,0)</f>
        <v>#REF!</v>
      </c>
    </row>
    <row r="37" spans="1:43" x14ac:dyDescent="0.25">
      <c r="A37" s="8" t="s">
        <v>21</v>
      </c>
      <c r="B37" s="30" t="s">
        <v>294</v>
      </c>
      <c r="C37" s="8">
        <v>85</v>
      </c>
      <c r="D37" s="8">
        <v>73</v>
      </c>
      <c r="E37" s="8">
        <v>20</v>
      </c>
      <c r="F37" s="8">
        <f t="shared" si="0"/>
        <v>178</v>
      </c>
      <c r="H37" s="8">
        <v>2</v>
      </c>
      <c r="J37" s="8">
        <f t="shared" si="1"/>
        <v>2</v>
      </c>
      <c r="K37" s="8">
        <v>2</v>
      </c>
      <c r="L37" s="8">
        <v>3</v>
      </c>
      <c r="M37" s="8">
        <v>0</v>
      </c>
      <c r="N37" s="8">
        <f t="shared" si="2"/>
        <v>5</v>
      </c>
      <c r="O37" s="8">
        <v>4</v>
      </c>
      <c r="P37" s="8">
        <v>5</v>
      </c>
      <c r="Q37" s="8">
        <v>2</v>
      </c>
      <c r="R37" s="8">
        <f t="shared" si="3"/>
        <v>11</v>
      </c>
      <c r="S37" s="31">
        <v>1.5</v>
      </c>
      <c r="T37" s="30">
        <v>1.25</v>
      </c>
      <c r="U37" s="66">
        <f>IF(A37='Свод по районам'!$A$9,'Свод по районам'!$G$9,0)</f>
        <v>1.4603359394739179</v>
      </c>
      <c r="V37" s="30">
        <f t="shared" si="4"/>
        <v>554.79999999999995</v>
      </c>
      <c r="W37" s="12">
        <f t="shared" si="16"/>
        <v>466.96969014084505</v>
      </c>
      <c r="X37" s="11">
        <v>461.73217</v>
      </c>
      <c r="Y37" s="17">
        <f t="shared" si="5"/>
        <v>93.067829999999958</v>
      </c>
      <c r="Z37" s="17">
        <f t="shared" si="17"/>
        <v>93.067829999999958</v>
      </c>
      <c r="AA37" s="17">
        <f t="shared" si="6"/>
        <v>0</v>
      </c>
      <c r="AB37" s="20">
        <f t="shared" si="7"/>
        <v>5.2375201408450494</v>
      </c>
      <c r="AC37" s="17">
        <f t="shared" si="18"/>
        <v>5.2375201408450494</v>
      </c>
      <c r="AD37" s="17">
        <f t="shared" si="8"/>
        <v>0</v>
      </c>
      <c r="AE37" s="8">
        <v>16.600000000000001</v>
      </c>
      <c r="AF37" s="28">
        <f t="shared" si="9"/>
        <v>33421.686746987943</v>
      </c>
      <c r="AG37" s="28">
        <f t="shared" si="19"/>
        <v>28130.704225352107</v>
      </c>
      <c r="AH37" s="28">
        <f t="shared" si="10"/>
        <v>27815.190963855417</v>
      </c>
      <c r="AI37" s="42">
        <f t="shared" si="11"/>
        <v>5606.4957831325264</v>
      </c>
      <c r="AJ37" s="44">
        <f t="shared" si="12"/>
        <v>19.722222222222221</v>
      </c>
      <c r="AK37" s="45">
        <f t="shared" si="13"/>
        <v>28130.70422535211</v>
      </c>
      <c r="AL37" s="45">
        <f t="shared" si="14"/>
        <v>23411.772000000001</v>
      </c>
      <c r="AM37" s="45">
        <f t="shared" si="15"/>
        <v>4718.9322253521095</v>
      </c>
      <c r="AN37" s="23">
        <f t="shared" si="20"/>
        <v>1.1880856760374832</v>
      </c>
      <c r="AP37" s="20" t="e">
        <f>IF(AH37/S37&lt;#REF!,AH37,0)</f>
        <v>#REF!</v>
      </c>
      <c r="AQ37" s="11" t="e">
        <f>IF(AP37&gt;0,(#REF!*S37-AP37)*AE37/1000*1.302*4,0)</f>
        <v>#REF!</v>
      </c>
    </row>
    <row r="38" spans="1:43" x14ac:dyDescent="0.25">
      <c r="A38" s="8" t="s">
        <v>21</v>
      </c>
      <c r="B38" s="30" t="s">
        <v>295</v>
      </c>
      <c r="C38" s="8">
        <v>58</v>
      </c>
      <c r="D38" s="8">
        <v>78</v>
      </c>
      <c r="E38" s="8">
        <v>16</v>
      </c>
      <c r="F38" s="8">
        <f t="shared" si="0"/>
        <v>152</v>
      </c>
      <c r="H38" s="8">
        <v>2</v>
      </c>
      <c r="I38" s="8">
        <v>1</v>
      </c>
      <c r="J38" s="8">
        <f t="shared" si="1"/>
        <v>3</v>
      </c>
      <c r="K38" s="8">
        <v>0</v>
      </c>
      <c r="L38" s="8">
        <v>0</v>
      </c>
      <c r="M38" s="8">
        <v>0</v>
      </c>
      <c r="N38" s="8">
        <f t="shared" si="2"/>
        <v>0</v>
      </c>
      <c r="O38" s="8">
        <v>4</v>
      </c>
      <c r="P38" s="8">
        <v>5</v>
      </c>
      <c r="Q38" s="8">
        <v>2</v>
      </c>
      <c r="R38" s="8">
        <f t="shared" si="3"/>
        <v>11</v>
      </c>
      <c r="S38" s="31">
        <v>1.5</v>
      </c>
      <c r="T38" s="30">
        <v>1.25</v>
      </c>
      <c r="U38" s="66">
        <f>IF(A38='Свод по районам'!$A$9,'Свод по районам'!$G$9,0)</f>
        <v>1.4603359394739179</v>
      </c>
      <c r="V38" s="30">
        <f t="shared" si="4"/>
        <v>501</v>
      </c>
      <c r="W38" s="12">
        <f t="shared" si="16"/>
        <v>390.69809264305178</v>
      </c>
      <c r="X38" s="11">
        <v>391.54978000000006</v>
      </c>
      <c r="Y38" s="17">
        <f t="shared" si="5"/>
        <v>109.45021999999994</v>
      </c>
      <c r="Z38" s="17">
        <f t="shared" si="17"/>
        <v>109.45021999999994</v>
      </c>
      <c r="AA38" s="17">
        <f t="shared" si="6"/>
        <v>0</v>
      </c>
      <c r="AB38" s="20">
        <f t="shared" si="7"/>
        <v>-0.85168735694827546</v>
      </c>
      <c r="AC38" s="17">
        <f t="shared" si="18"/>
        <v>0</v>
      </c>
      <c r="AD38" s="17">
        <f t="shared" si="8"/>
        <v>-0.85168735694827546</v>
      </c>
      <c r="AE38" s="8">
        <v>15.9</v>
      </c>
      <c r="AF38" s="28">
        <f t="shared" si="9"/>
        <v>31509.433962264149</v>
      </c>
      <c r="AG38" s="28">
        <f t="shared" si="19"/>
        <v>24572.207084468664</v>
      </c>
      <c r="AH38" s="28">
        <f t="shared" si="10"/>
        <v>24625.772327044029</v>
      </c>
      <c r="AI38" s="42">
        <f t="shared" si="11"/>
        <v>6883.6616352201199</v>
      </c>
      <c r="AJ38" s="44">
        <f t="shared" si="12"/>
        <v>20.388888888888889</v>
      </c>
      <c r="AK38" s="45">
        <f t="shared" si="13"/>
        <v>24572.207084468664</v>
      </c>
      <c r="AL38" s="45">
        <f t="shared" si="14"/>
        <v>19204.076403269755</v>
      </c>
      <c r="AM38" s="45">
        <f t="shared" si="15"/>
        <v>5368.1306811989089</v>
      </c>
      <c r="AN38" s="23">
        <f t="shared" si="20"/>
        <v>1.2823200559049615</v>
      </c>
      <c r="AP38" s="20" t="e">
        <f>IF(AH38/S38&lt;#REF!,AH38,0)</f>
        <v>#REF!</v>
      </c>
      <c r="AQ38" s="11" t="e">
        <f>IF(AP38&gt;0,(#REF!*S38-AP38)*AE38/1000*1.302*4,0)</f>
        <v>#REF!</v>
      </c>
    </row>
    <row r="39" spans="1:43" x14ac:dyDescent="0.25">
      <c r="A39" s="8" t="s">
        <v>21</v>
      </c>
      <c r="B39" s="30" t="s">
        <v>292</v>
      </c>
      <c r="C39" s="8">
        <v>54</v>
      </c>
      <c r="D39" s="8">
        <v>82</v>
      </c>
      <c r="E39" s="8">
        <v>5</v>
      </c>
      <c r="F39" s="8">
        <f t="shared" si="0"/>
        <v>141</v>
      </c>
      <c r="J39" s="8">
        <f t="shared" si="1"/>
        <v>0</v>
      </c>
      <c r="K39" s="8">
        <v>0</v>
      </c>
      <c r="L39" s="8">
        <v>0</v>
      </c>
      <c r="M39" s="8">
        <v>0</v>
      </c>
      <c r="N39" s="8">
        <f t="shared" si="2"/>
        <v>0</v>
      </c>
      <c r="O39" s="8">
        <v>4</v>
      </c>
      <c r="P39" s="8">
        <v>5</v>
      </c>
      <c r="Q39" s="8">
        <v>1</v>
      </c>
      <c r="R39" s="8">
        <f t="shared" si="3"/>
        <v>10</v>
      </c>
      <c r="S39" s="31">
        <v>1.5</v>
      </c>
      <c r="T39" s="30">
        <v>1.25</v>
      </c>
      <c r="U39" s="66">
        <f>IF(A39='Свод по районам'!$A$9,'Свод по районам'!$G$9,0)</f>
        <v>1.4603359394739179</v>
      </c>
      <c r="V39" s="30">
        <f t="shared" si="4"/>
        <v>411.9</v>
      </c>
      <c r="W39" s="12">
        <f t="shared" si="16"/>
        <v>381.94363636363636</v>
      </c>
      <c r="X39" s="11">
        <v>384.01968999999997</v>
      </c>
      <c r="Y39" s="17">
        <f t="shared" si="5"/>
        <v>27.880310000000009</v>
      </c>
      <c r="Z39" s="17">
        <f t="shared" si="17"/>
        <v>27.880310000000009</v>
      </c>
      <c r="AA39" s="17">
        <f t="shared" si="6"/>
        <v>0</v>
      </c>
      <c r="AB39" s="20">
        <f t="shared" si="7"/>
        <v>-2.0760536363636106</v>
      </c>
      <c r="AC39" s="17">
        <f t="shared" si="18"/>
        <v>0</v>
      </c>
      <c r="AD39" s="17">
        <f t="shared" si="8"/>
        <v>-2.0760536363636106</v>
      </c>
      <c r="AE39" s="8">
        <v>15.3</v>
      </c>
      <c r="AF39" s="28">
        <f t="shared" si="9"/>
        <v>26921.568627450975</v>
      </c>
      <c r="AG39" s="28">
        <f t="shared" si="19"/>
        <v>24963.63636363636</v>
      </c>
      <c r="AH39" s="28">
        <f t="shared" si="10"/>
        <v>25099.326143790848</v>
      </c>
      <c r="AI39" s="42">
        <f t="shared" si="11"/>
        <v>1822.2424836601276</v>
      </c>
      <c r="AJ39" s="44">
        <f t="shared" si="12"/>
        <v>16.5</v>
      </c>
      <c r="AK39" s="45">
        <f t="shared" si="13"/>
        <v>24963.63636363636</v>
      </c>
      <c r="AL39" s="45">
        <f t="shared" si="14"/>
        <v>23273.920606060605</v>
      </c>
      <c r="AM39" s="45">
        <f t="shared" si="15"/>
        <v>1689.7157575757556</v>
      </c>
      <c r="AN39" s="23">
        <f t="shared" si="20"/>
        <v>1.0784313725490196</v>
      </c>
      <c r="AP39" s="20" t="e">
        <f>IF(AH39/S39&lt;#REF!,AH39,0)</f>
        <v>#REF!</v>
      </c>
      <c r="AQ39" s="11" t="e">
        <f>IF(AP39&gt;0,(#REF!*S39-AP39)*AE39/1000*1.302*4,0)</f>
        <v>#REF!</v>
      </c>
    </row>
    <row r="40" spans="1:43" x14ac:dyDescent="0.25">
      <c r="A40" s="8" t="s">
        <v>21</v>
      </c>
      <c r="B40" s="30" t="s">
        <v>296</v>
      </c>
      <c r="C40" s="8">
        <v>50</v>
      </c>
      <c r="D40" s="8">
        <v>64</v>
      </c>
      <c r="E40" s="8">
        <v>5</v>
      </c>
      <c r="F40" s="8">
        <f t="shared" si="0"/>
        <v>119</v>
      </c>
      <c r="J40" s="8">
        <f t="shared" si="1"/>
        <v>0</v>
      </c>
      <c r="K40" s="8">
        <v>0</v>
      </c>
      <c r="L40" s="8">
        <v>0</v>
      </c>
      <c r="M40" s="8">
        <v>0</v>
      </c>
      <c r="N40" s="8">
        <f t="shared" si="2"/>
        <v>0</v>
      </c>
      <c r="O40" s="8">
        <v>4</v>
      </c>
      <c r="P40" s="8">
        <v>5</v>
      </c>
      <c r="Q40" s="8">
        <v>1</v>
      </c>
      <c r="R40" s="8">
        <f t="shared" si="3"/>
        <v>10</v>
      </c>
      <c r="S40" s="31">
        <v>1.5</v>
      </c>
      <c r="T40" s="30">
        <v>1.25</v>
      </c>
      <c r="U40" s="66">
        <f>IF(A40='Свод по районам'!$A$9,'Свод по районам'!$G$9,0)</f>
        <v>1.4603359394739179</v>
      </c>
      <c r="V40" s="30">
        <f t="shared" si="4"/>
        <v>344.3</v>
      </c>
      <c r="W40" s="12">
        <f t="shared" si="16"/>
        <v>198.23333333333332</v>
      </c>
      <c r="X40" s="11">
        <v>331.87331999999998</v>
      </c>
      <c r="Y40" s="17">
        <f t="shared" si="5"/>
        <v>12.426680000000033</v>
      </c>
      <c r="Z40" s="17">
        <f t="shared" si="17"/>
        <v>12.426680000000033</v>
      </c>
      <c r="AA40" s="17">
        <f t="shared" si="6"/>
        <v>0</v>
      </c>
      <c r="AB40" s="20">
        <f t="shared" si="7"/>
        <v>-133.63998666666666</v>
      </c>
      <c r="AC40" s="17">
        <f t="shared" si="18"/>
        <v>0</v>
      </c>
      <c r="AD40" s="17">
        <f t="shared" si="8"/>
        <v>-133.63998666666666</v>
      </c>
      <c r="AE40" s="8">
        <v>9.5</v>
      </c>
      <c r="AF40" s="28">
        <f t="shared" si="9"/>
        <v>36242.105263157893</v>
      </c>
      <c r="AG40" s="28">
        <f t="shared" si="19"/>
        <v>20866.666666666664</v>
      </c>
      <c r="AH40" s="28">
        <f t="shared" si="10"/>
        <v>34934.033684210524</v>
      </c>
      <c r="AI40" s="42">
        <f t="shared" si="11"/>
        <v>1308.0715789473688</v>
      </c>
      <c r="AJ40" s="44">
        <f t="shared" si="12"/>
        <v>16.5</v>
      </c>
      <c r="AK40" s="45">
        <f t="shared" si="13"/>
        <v>20866.666666666668</v>
      </c>
      <c r="AL40" s="45">
        <f t="shared" si="14"/>
        <v>20113.534545454546</v>
      </c>
      <c r="AM40" s="45">
        <f t="shared" si="15"/>
        <v>753.132121212122</v>
      </c>
      <c r="AN40" s="23">
        <f t="shared" si="20"/>
        <v>1.736842105263158</v>
      </c>
      <c r="AP40" s="20" t="e">
        <f>IF(AH40/S40&lt;#REF!,AH40,0)</f>
        <v>#REF!</v>
      </c>
      <c r="AQ40" s="11" t="e">
        <f>IF(AP40&gt;0,(#REF!*S40-AP40)*AE40/1000*1.302*4,0)</f>
        <v>#REF!</v>
      </c>
    </row>
    <row r="41" spans="1:43" x14ac:dyDescent="0.25">
      <c r="A41" s="8" t="s">
        <v>22</v>
      </c>
      <c r="B41" s="30" t="s">
        <v>300</v>
      </c>
      <c r="C41" s="8">
        <v>293</v>
      </c>
      <c r="D41" s="8">
        <v>279</v>
      </c>
      <c r="E41" s="8">
        <v>76</v>
      </c>
      <c r="F41" s="8">
        <f t="shared" si="0"/>
        <v>648</v>
      </c>
      <c r="G41" s="8">
        <v>1</v>
      </c>
      <c r="H41" s="8">
        <v>2</v>
      </c>
      <c r="J41" s="8">
        <f t="shared" si="1"/>
        <v>3</v>
      </c>
      <c r="K41" s="8">
        <v>4</v>
      </c>
      <c r="L41" s="8">
        <v>7</v>
      </c>
      <c r="M41" s="8">
        <v>2</v>
      </c>
      <c r="N41" s="8">
        <f t="shared" si="2"/>
        <v>13</v>
      </c>
      <c r="O41" s="8">
        <v>11</v>
      </c>
      <c r="P41" s="8">
        <v>12</v>
      </c>
      <c r="Q41" s="8">
        <v>2</v>
      </c>
      <c r="R41" s="8">
        <f t="shared" si="3"/>
        <v>25</v>
      </c>
      <c r="S41" s="31">
        <v>1.5</v>
      </c>
      <c r="T41" s="30">
        <v>1.25</v>
      </c>
      <c r="U41" s="66">
        <f>IF(A41='Свод по районам'!$A$10,'Свод по районам'!$G$10,0)</f>
        <v>1.7383167575214782</v>
      </c>
      <c r="V41" s="30">
        <f t="shared" si="4"/>
        <v>1984.5</v>
      </c>
      <c r="W41" s="12">
        <f t="shared" si="16"/>
        <v>1457.9043307086617</v>
      </c>
      <c r="X41" s="11">
        <v>1391.5467099999998</v>
      </c>
      <c r="Y41" s="17">
        <f t="shared" si="5"/>
        <v>592.95329000000015</v>
      </c>
      <c r="Z41" s="17">
        <f t="shared" si="17"/>
        <v>592.95329000000015</v>
      </c>
      <c r="AA41" s="17">
        <f t="shared" si="6"/>
        <v>0</v>
      </c>
      <c r="AB41" s="20">
        <f t="shared" si="7"/>
        <v>66.357620708661898</v>
      </c>
      <c r="AC41" s="17">
        <f t="shared" si="18"/>
        <v>66.357620708661898</v>
      </c>
      <c r="AD41" s="17">
        <f t="shared" si="8"/>
        <v>0</v>
      </c>
      <c r="AE41" s="8">
        <v>31.1</v>
      </c>
      <c r="AF41" s="28">
        <f t="shared" si="9"/>
        <v>63810.289389067519</v>
      </c>
      <c r="AG41" s="28">
        <f t="shared" si="19"/>
        <v>46877.95275590552</v>
      </c>
      <c r="AH41" s="28">
        <f t="shared" si="10"/>
        <v>44744.267202572337</v>
      </c>
      <c r="AI41" s="42">
        <f t="shared" si="11"/>
        <v>19066.022186495182</v>
      </c>
      <c r="AJ41" s="44">
        <f t="shared" si="12"/>
        <v>42.333333333333329</v>
      </c>
      <c r="AK41" s="45">
        <f t="shared" si="13"/>
        <v>46877.95275590552</v>
      </c>
      <c r="AL41" s="45">
        <f t="shared" si="14"/>
        <v>32871.182125984255</v>
      </c>
      <c r="AM41" s="45">
        <f t="shared" si="15"/>
        <v>14006.770629921266</v>
      </c>
      <c r="AN41" s="23">
        <f t="shared" si="20"/>
        <v>1.3612004287245443</v>
      </c>
      <c r="AP41" s="20" t="e">
        <f>IF(AH41/S41&lt;#REF!,AH41,0)</f>
        <v>#REF!</v>
      </c>
      <c r="AQ41" s="11" t="e">
        <f>IF(AP41&gt;0,(#REF!*S41-AP41)*AE41/1000*1.302*4,0)</f>
        <v>#REF!</v>
      </c>
    </row>
    <row r="42" spans="1:43" x14ac:dyDescent="0.25">
      <c r="A42" s="8" t="s">
        <v>22</v>
      </c>
      <c r="B42" s="30" t="s">
        <v>301</v>
      </c>
      <c r="C42" s="8">
        <v>252</v>
      </c>
      <c r="D42" s="8">
        <v>263</v>
      </c>
      <c r="E42" s="8">
        <v>60</v>
      </c>
      <c r="F42" s="8">
        <f t="shared" si="0"/>
        <v>575</v>
      </c>
      <c r="G42" s="8">
        <v>2</v>
      </c>
      <c r="H42" s="8">
        <v>2</v>
      </c>
      <c r="J42" s="8">
        <f t="shared" si="1"/>
        <v>4</v>
      </c>
      <c r="K42" s="8">
        <v>4</v>
      </c>
      <c r="L42" s="8">
        <v>8</v>
      </c>
      <c r="M42" s="8">
        <v>0</v>
      </c>
      <c r="N42" s="8">
        <f t="shared" si="2"/>
        <v>12</v>
      </c>
      <c r="O42" s="8">
        <v>10</v>
      </c>
      <c r="P42" s="8">
        <v>11</v>
      </c>
      <c r="Q42" s="8">
        <v>2</v>
      </c>
      <c r="R42" s="8">
        <f t="shared" si="3"/>
        <v>23</v>
      </c>
      <c r="S42" s="31">
        <v>1.5</v>
      </c>
      <c r="T42" s="30">
        <v>1.25</v>
      </c>
      <c r="U42" s="66">
        <f>IF(A42='Свод по районам'!$A$10,'Свод по районам'!$G$10,0)</f>
        <v>1.7383167575214782</v>
      </c>
      <c r="V42" s="30">
        <f t="shared" si="4"/>
        <v>1769</v>
      </c>
      <c r="W42" s="12">
        <f t="shared" si="16"/>
        <v>1205.798036465638</v>
      </c>
      <c r="X42" s="11">
        <v>1213.6243799999997</v>
      </c>
      <c r="Y42" s="17">
        <f t="shared" si="5"/>
        <v>555.37562000000025</v>
      </c>
      <c r="Z42" s="17">
        <f t="shared" si="17"/>
        <v>555.37562000000025</v>
      </c>
      <c r="AA42" s="17">
        <f t="shared" si="6"/>
        <v>0</v>
      </c>
      <c r="AB42" s="20">
        <f t="shared" si="7"/>
        <v>-7.8263435343617402</v>
      </c>
      <c r="AC42" s="17">
        <f t="shared" si="18"/>
        <v>0</v>
      </c>
      <c r="AD42" s="17">
        <f t="shared" si="8"/>
        <v>-7.8263435343617402</v>
      </c>
      <c r="AE42" s="8">
        <v>27</v>
      </c>
      <c r="AF42" s="28">
        <f t="shared" si="9"/>
        <v>65518.518518518518</v>
      </c>
      <c r="AG42" s="28">
        <f t="shared" si="19"/>
        <v>44659.186535764369</v>
      </c>
      <c r="AH42" s="28">
        <f t="shared" si="10"/>
        <v>44949.051111111105</v>
      </c>
      <c r="AI42" s="42">
        <f t="shared" si="11"/>
        <v>20569.467407407414</v>
      </c>
      <c r="AJ42" s="44">
        <f t="shared" si="12"/>
        <v>39.611111111111114</v>
      </c>
      <c r="AK42" s="45">
        <f t="shared" si="13"/>
        <v>44659.186535764369</v>
      </c>
      <c r="AL42" s="45">
        <f t="shared" si="14"/>
        <v>30638.483646563807</v>
      </c>
      <c r="AM42" s="45">
        <f t="shared" si="15"/>
        <v>14020.702889200562</v>
      </c>
      <c r="AN42" s="23">
        <f t="shared" si="20"/>
        <v>1.4670781893004117</v>
      </c>
      <c r="AP42" s="20" t="e">
        <f>IF(AH42/S42&lt;#REF!,AH42,0)</f>
        <v>#REF!</v>
      </c>
      <c r="AQ42" s="11" t="e">
        <f>IF(AP42&gt;0,(#REF!*S42-AP42)*AE42/1000*1.302*4,0)</f>
        <v>#REF!</v>
      </c>
    </row>
    <row r="43" spans="1:43" x14ac:dyDescent="0.25">
      <c r="A43" s="8" t="s">
        <v>22</v>
      </c>
      <c r="B43" s="30" t="s">
        <v>303</v>
      </c>
      <c r="C43" s="8">
        <v>69</v>
      </c>
      <c r="D43" s="8">
        <v>85</v>
      </c>
      <c r="E43" s="8">
        <v>19</v>
      </c>
      <c r="F43" s="8">
        <f t="shared" si="0"/>
        <v>173</v>
      </c>
      <c r="G43" s="8">
        <v>2</v>
      </c>
      <c r="H43" s="8">
        <v>1</v>
      </c>
      <c r="J43" s="8">
        <f t="shared" si="1"/>
        <v>3</v>
      </c>
      <c r="K43" s="8">
        <v>0</v>
      </c>
      <c r="L43" s="8">
        <v>1</v>
      </c>
      <c r="M43" s="8">
        <v>0</v>
      </c>
      <c r="N43" s="8">
        <f t="shared" si="2"/>
        <v>1</v>
      </c>
      <c r="O43" s="8">
        <v>4</v>
      </c>
      <c r="P43" s="8">
        <v>5</v>
      </c>
      <c r="Q43" s="8">
        <v>2</v>
      </c>
      <c r="R43" s="8">
        <f t="shared" si="3"/>
        <v>11</v>
      </c>
      <c r="S43" s="31">
        <v>1.5</v>
      </c>
      <c r="T43" s="30">
        <v>1.25</v>
      </c>
      <c r="U43" s="66">
        <f>IF(A43='Свод по районам'!$A$10,'Свод по районам'!$G$10,0)</f>
        <v>1.7383167575214782</v>
      </c>
      <c r="V43" s="30">
        <f t="shared" si="4"/>
        <v>558.20000000000005</v>
      </c>
      <c r="W43" s="12">
        <f t="shared" si="16"/>
        <v>337.71100000000001</v>
      </c>
      <c r="X43" s="11">
        <v>445.16762999999997</v>
      </c>
      <c r="Y43" s="17">
        <f t="shared" si="5"/>
        <v>113.03237000000007</v>
      </c>
      <c r="Z43" s="17">
        <f t="shared" si="17"/>
        <v>113.03237000000007</v>
      </c>
      <c r="AA43" s="17">
        <f t="shared" si="6"/>
        <v>0</v>
      </c>
      <c r="AB43" s="20">
        <f t="shared" si="7"/>
        <v>-107.45662999999996</v>
      </c>
      <c r="AC43" s="17">
        <f t="shared" si="18"/>
        <v>0</v>
      </c>
      <c r="AD43" s="17">
        <f t="shared" si="8"/>
        <v>-107.45662999999996</v>
      </c>
      <c r="AE43" s="8">
        <v>12.1</v>
      </c>
      <c r="AF43" s="28">
        <f t="shared" si="9"/>
        <v>46132.231404958678</v>
      </c>
      <c r="AG43" s="28">
        <f t="shared" si="19"/>
        <v>27910</v>
      </c>
      <c r="AH43" s="28">
        <f t="shared" si="10"/>
        <v>36790.71322314049</v>
      </c>
      <c r="AI43" s="42">
        <f t="shared" si="11"/>
        <v>9341.5181818181882</v>
      </c>
      <c r="AJ43" s="44">
        <f t="shared" si="12"/>
        <v>20</v>
      </c>
      <c r="AK43" s="45">
        <f t="shared" si="13"/>
        <v>27910.000000000004</v>
      </c>
      <c r="AL43" s="45">
        <f t="shared" si="14"/>
        <v>22258.3815</v>
      </c>
      <c r="AM43" s="45">
        <f t="shared" si="15"/>
        <v>5651.6185000000041</v>
      </c>
      <c r="AN43" s="23">
        <f t="shared" si="20"/>
        <v>1.6528925619834711</v>
      </c>
      <c r="AP43" s="20" t="e">
        <f>IF(AH43/S43&lt;#REF!,AH43,0)</f>
        <v>#REF!</v>
      </c>
      <c r="AQ43" s="11" t="e">
        <f>IF(AP43&gt;0,(#REF!*S43-AP43)*AE43/1000*1.302*4,0)</f>
        <v>#REF!</v>
      </c>
    </row>
    <row r="44" spans="1:43" x14ac:dyDescent="0.25">
      <c r="A44" s="8" t="s">
        <v>22</v>
      </c>
      <c r="B44" s="30" t="s">
        <v>299</v>
      </c>
      <c r="C44" s="8">
        <v>52</v>
      </c>
      <c r="D44" s="8">
        <v>66</v>
      </c>
      <c r="E44" s="8">
        <v>21</v>
      </c>
      <c r="F44" s="8">
        <f t="shared" si="0"/>
        <v>139</v>
      </c>
      <c r="G44" s="8">
        <v>1</v>
      </c>
      <c r="H44" s="8">
        <v>1</v>
      </c>
      <c r="J44" s="8">
        <f t="shared" si="1"/>
        <v>2</v>
      </c>
      <c r="K44" s="8">
        <v>0</v>
      </c>
      <c r="L44" s="8">
        <v>2</v>
      </c>
      <c r="M44" s="8">
        <v>0</v>
      </c>
      <c r="N44" s="8">
        <f t="shared" si="2"/>
        <v>2</v>
      </c>
      <c r="O44" s="8">
        <v>4</v>
      </c>
      <c r="P44" s="8">
        <v>5</v>
      </c>
      <c r="Q44" s="8">
        <v>2</v>
      </c>
      <c r="R44" s="8">
        <f t="shared" si="3"/>
        <v>11</v>
      </c>
      <c r="S44" s="31">
        <v>1.5</v>
      </c>
      <c r="T44" s="30">
        <v>1.25</v>
      </c>
      <c r="U44" s="66">
        <f>IF(A44='Свод по районам'!$A$10,'Свод по районам'!$G$10,0)</f>
        <v>1.7383167575214782</v>
      </c>
      <c r="V44" s="30">
        <f t="shared" si="4"/>
        <v>460.2</v>
      </c>
      <c r="W44" s="12">
        <f t="shared" si="16"/>
        <v>265.92238636363635</v>
      </c>
      <c r="X44" s="11">
        <v>374.61525</v>
      </c>
      <c r="Y44" s="17">
        <f t="shared" si="5"/>
        <v>85.584749999999985</v>
      </c>
      <c r="Z44" s="17">
        <f t="shared" si="17"/>
        <v>85.584749999999985</v>
      </c>
      <c r="AA44" s="17">
        <f t="shared" si="6"/>
        <v>0</v>
      </c>
      <c r="AB44" s="20">
        <f t="shared" si="7"/>
        <v>-108.69286363636365</v>
      </c>
      <c r="AC44" s="17">
        <f t="shared" si="18"/>
        <v>0</v>
      </c>
      <c r="AD44" s="17">
        <f t="shared" si="8"/>
        <v>-108.69286363636365</v>
      </c>
      <c r="AE44" s="8">
        <v>11.3</v>
      </c>
      <c r="AF44" s="28">
        <f t="shared" si="9"/>
        <v>40725.663716814153</v>
      </c>
      <c r="AG44" s="28">
        <f t="shared" si="19"/>
        <v>23532.954545454544</v>
      </c>
      <c r="AH44" s="28">
        <f t="shared" si="10"/>
        <v>33151.792035398234</v>
      </c>
      <c r="AI44" s="42">
        <f t="shared" si="11"/>
        <v>7573.8716814159197</v>
      </c>
      <c r="AJ44" s="44">
        <f t="shared" si="12"/>
        <v>19.555555555555557</v>
      </c>
      <c r="AK44" s="45">
        <f t="shared" si="13"/>
        <v>23532.954545454544</v>
      </c>
      <c r="AL44" s="45">
        <f t="shared" si="14"/>
        <v>19156.461647727272</v>
      </c>
      <c r="AM44" s="45">
        <f t="shared" si="15"/>
        <v>4376.4928977272721</v>
      </c>
      <c r="AN44" s="23">
        <f t="shared" si="20"/>
        <v>1.7305801376597838</v>
      </c>
      <c r="AP44" s="20" t="e">
        <f>IF(AH44/S44&lt;#REF!,AH44,0)</f>
        <v>#REF!</v>
      </c>
      <c r="AQ44" s="11" t="e">
        <f>IF(AP44&gt;0,(#REF!*S44-AP44)*AE44/1000*1.302*4,0)</f>
        <v>#REF!</v>
      </c>
    </row>
    <row r="45" spans="1:43" x14ac:dyDescent="0.25">
      <c r="A45" s="8" t="s">
        <v>22</v>
      </c>
      <c r="B45" s="30" t="s">
        <v>302</v>
      </c>
      <c r="C45" s="8">
        <v>47</v>
      </c>
      <c r="D45" s="8">
        <v>65</v>
      </c>
      <c r="E45" s="8">
        <v>13</v>
      </c>
      <c r="F45" s="8">
        <f t="shared" si="0"/>
        <v>125</v>
      </c>
      <c r="G45" s="8">
        <v>1</v>
      </c>
      <c r="J45" s="8">
        <f t="shared" si="1"/>
        <v>1</v>
      </c>
      <c r="K45" s="8">
        <v>2</v>
      </c>
      <c r="L45" s="8">
        <v>0</v>
      </c>
      <c r="M45" s="8">
        <v>0</v>
      </c>
      <c r="N45" s="8">
        <f t="shared" si="2"/>
        <v>2</v>
      </c>
      <c r="O45" s="8">
        <v>4</v>
      </c>
      <c r="P45" s="8">
        <v>5</v>
      </c>
      <c r="Q45" s="8">
        <v>2</v>
      </c>
      <c r="R45" s="8">
        <f t="shared" si="3"/>
        <v>11</v>
      </c>
      <c r="S45" s="31">
        <v>1.5</v>
      </c>
      <c r="T45" s="30">
        <v>1.25</v>
      </c>
      <c r="U45" s="66">
        <f>IF(A45='Свод по районам'!$A$10,'Свод по районам'!$G$10,0)</f>
        <v>1.7383167575214782</v>
      </c>
      <c r="V45" s="30">
        <f t="shared" si="4"/>
        <v>392.2</v>
      </c>
      <c r="W45" s="12">
        <f t="shared" si="16"/>
        <v>254.64246334310855</v>
      </c>
      <c r="X45" s="11">
        <v>358.59372000000002</v>
      </c>
      <c r="Y45" s="17">
        <f t="shared" si="5"/>
        <v>33.60627999999997</v>
      </c>
      <c r="Z45" s="17">
        <f t="shared" si="17"/>
        <v>33.60627999999997</v>
      </c>
      <c r="AA45" s="17">
        <f t="shared" si="6"/>
        <v>0</v>
      </c>
      <c r="AB45" s="20">
        <f t="shared" si="7"/>
        <v>-103.95125665689147</v>
      </c>
      <c r="AC45" s="17">
        <f t="shared" si="18"/>
        <v>0</v>
      </c>
      <c r="AD45" s="17">
        <f t="shared" si="8"/>
        <v>-103.95125665689147</v>
      </c>
      <c r="AE45" s="8">
        <v>12.3</v>
      </c>
      <c r="AF45" s="28">
        <f t="shared" si="9"/>
        <v>31886.178861788616</v>
      </c>
      <c r="AG45" s="28">
        <f t="shared" si="19"/>
        <v>20702.639296187685</v>
      </c>
      <c r="AH45" s="28">
        <f t="shared" si="10"/>
        <v>29153.960975609756</v>
      </c>
      <c r="AI45" s="42">
        <f t="shared" si="11"/>
        <v>2732.2178861788598</v>
      </c>
      <c r="AJ45" s="44">
        <f t="shared" si="12"/>
        <v>18.944444444444443</v>
      </c>
      <c r="AK45" s="45">
        <f t="shared" si="13"/>
        <v>20702.639296187685</v>
      </c>
      <c r="AL45" s="45">
        <f t="shared" si="14"/>
        <v>18928.700762463348</v>
      </c>
      <c r="AM45" s="45">
        <f t="shared" si="15"/>
        <v>1773.9385337243366</v>
      </c>
      <c r="AN45" s="23">
        <f t="shared" si="20"/>
        <v>1.5401987353206863</v>
      </c>
      <c r="AP45" s="20" t="e">
        <f>IF(AH45/S45&lt;#REF!,AH45,0)</f>
        <v>#REF!</v>
      </c>
      <c r="AQ45" s="11" t="e">
        <f>IF(AP45&gt;0,(#REF!*S45-AP45)*AE45/1000*1.302*4,0)</f>
        <v>#REF!</v>
      </c>
    </row>
    <row r="46" spans="1:43" x14ac:dyDescent="0.25">
      <c r="A46" s="8" t="s">
        <v>23</v>
      </c>
      <c r="B46" s="30" t="s">
        <v>319</v>
      </c>
      <c r="C46" s="8">
        <v>396</v>
      </c>
      <c r="D46" s="8">
        <v>374</v>
      </c>
      <c r="E46" s="8">
        <v>75</v>
      </c>
      <c r="F46" s="8">
        <f t="shared" si="0"/>
        <v>845</v>
      </c>
      <c r="G46" s="8">
        <v>7</v>
      </c>
      <c r="H46" s="8">
        <v>2</v>
      </c>
      <c r="J46" s="8">
        <f t="shared" si="1"/>
        <v>9</v>
      </c>
      <c r="K46" s="8">
        <v>9</v>
      </c>
      <c r="L46" s="8">
        <v>5</v>
      </c>
      <c r="M46" s="8">
        <v>1</v>
      </c>
      <c r="N46" s="8">
        <f t="shared" si="2"/>
        <v>15</v>
      </c>
      <c r="O46" s="8">
        <v>15</v>
      </c>
      <c r="P46" s="8">
        <v>15</v>
      </c>
      <c r="Q46" s="8">
        <v>4</v>
      </c>
      <c r="R46" s="8">
        <f t="shared" si="3"/>
        <v>34</v>
      </c>
      <c r="S46" s="31">
        <v>1.5</v>
      </c>
      <c r="T46" s="30">
        <v>1</v>
      </c>
      <c r="U46" s="66">
        <f>IF(A46='Свод по районам'!$A$11,'Свод по районам'!$G$11,0)</f>
        <v>1.3302169816672833</v>
      </c>
      <c r="V46" s="30">
        <f t="shared" si="4"/>
        <v>2058.1999999999998</v>
      </c>
      <c r="W46" s="12">
        <f t="shared" si="16"/>
        <v>1444.7532033426182</v>
      </c>
      <c r="X46" s="11">
        <v>1526.6867299999999</v>
      </c>
      <c r="Y46" s="17">
        <f t="shared" si="5"/>
        <v>531.51326999999992</v>
      </c>
      <c r="Z46" s="17">
        <f t="shared" si="17"/>
        <v>531.51326999999992</v>
      </c>
      <c r="AA46" s="17">
        <f t="shared" si="6"/>
        <v>0</v>
      </c>
      <c r="AB46" s="20">
        <f t="shared" si="7"/>
        <v>-81.933526657381663</v>
      </c>
      <c r="AC46" s="17">
        <f t="shared" si="18"/>
        <v>0</v>
      </c>
      <c r="AD46" s="17">
        <f t="shared" si="8"/>
        <v>-81.933526657381663</v>
      </c>
      <c r="AE46" s="8">
        <v>42</v>
      </c>
      <c r="AF46" s="28">
        <f t="shared" si="9"/>
        <v>49004.761904761901</v>
      </c>
      <c r="AG46" s="28">
        <f t="shared" si="19"/>
        <v>34398.885793871865</v>
      </c>
      <c r="AH46" s="28">
        <f t="shared" si="10"/>
        <v>36349.684047619041</v>
      </c>
      <c r="AI46" s="42">
        <f t="shared" si="11"/>
        <v>12655.07785714286</v>
      </c>
      <c r="AJ46" s="44">
        <f t="shared" si="12"/>
        <v>59.833333333333336</v>
      </c>
      <c r="AK46" s="45">
        <f t="shared" si="13"/>
        <v>34398.885793871865</v>
      </c>
      <c r="AL46" s="45">
        <f t="shared" si="14"/>
        <v>25515.655654596099</v>
      </c>
      <c r="AM46" s="45">
        <f t="shared" si="15"/>
        <v>8883.2301392757654</v>
      </c>
      <c r="AN46" s="23">
        <f t="shared" si="20"/>
        <v>1.4246031746031746</v>
      </c>
      <c r="AP46" s="20" t="e">
        <f>IF(AH46/S46&lt;#REF!,AH46,0)</f>
        <v>#REF!</v>
      </c>
      <c r="AQ46" s="11" t="e">
        <f>IF(AP46&gt;0,(#REF!*S46-AP46)*AE46/1000*1.302*4,0)</f>
        <v>#REF!</v>
      </c>
    </row>
    <row r="47" spans="1:43" x14ac:dyDescent="0.25">
      <c r="A47" s="8" t="s">
        <v>23</v>
      </c>
      <c r="B47" s="30" t="s">
        <v>321</v>
      </c>
      <c r="C47" s="8">
        <v>268</v>
      </c>
      <c r="D47" s="8">
        <v>336</v>
      </c>
      <c r="E47" s="8">
        <v>57</v>
      </c>
      <c r="F47" s="8">
        <f t="shared" si="0"/>
        <v>661</v>
      </c>
      <c r="G47" s="8">
        <v>2</v>
      </c>
      <c r="H47" s="8">
        <v>1</v>
      </c>
      <c r="J47" s="8">
        <f t="shared" si="1"/>
        <v>3</v>
      </c>
      <c r="K47" s="8">
        <v>3</v>
      </c>
      <c r="L47" s="8">
        <v>5</v>
      </c>
      <c r="M47" s="8">
        <v>0</v>
      </c>
      <c r="N47" s="8">
        <f t="shared" si="2"/>
        <v>8</v>
      </c>
      <c r="O47" s="8">
        <v>10</v>
      </c>
      <c r="P47" s="8">
        <v>12</v>
      </c>
      <c r="Q47" s="8">
        <v>2</v>
      </c>
      <c r="R47" s="8">
        <f t="shared" si="3"/>
        <v>24</v>
      </c>
      <c r="S47" s="31">
        <v>1.5</v>
      </c>
      <c r="T47" s="30">
        <v>1</v>
      </c>
      <c r="U47" s="66">
        <f>IF(A47='Свод по районам'!$A$11,'Свод по районам'!$G$11,0)</f>
        <v>1.3302169816672833</v>
      </c>
      <c r="V47" s="30">
        <f t="shared" si="4"/>
        <v>1610</v>
      </c>
      <c r="W47" s="12">
        <f t="shared" si="16"/>
        <v>1143.4285714285716</v>
      </c>
      <c r="X47" s="11">
        <v>1015.6998199999998</v>
      </c>
      <c r="Y47" s="17">
        <f t="shared" si="5"/>
        <v>594.30018000000018</v>
      </c>
      <c r="Z47" s="17">
        <f t="shared" si="17"/>
        <v>594.30018000000018</v>
      </c>
      <c r="AA47" s="17">
        <f t="shared" si="6"/>
        <v>0</v>
      </c>
      <c r="AB47" s="20">
        <f t="shared" si="7"/>
        <v>127.72875142857174</v>
      </c>
      <c r="AC47" s="17">
        <f t="shared" si="18"/>
        <v>127.72875142857174</v>
      </c>
      <c r="AD47" s="17">
        <f t="shared" si="8"/>
        <v>0</v>
      </c>
      <c r="AE47" s="8">
        <v>29</v>
      </c>
      <c r="AF47" s="28">
        <f t="shared" si="9"/>
        <v>55517.241379310341</v>
      </c>
      <c r="AG47" s="28">
        <f t="shared" si="19"/>
        <v>39428.571428571428</v>
      </c>
      <c r="AH47" s="28">
        <f t="shared" si="10"/>
        <v>35024.131724137922</v>
      </c>
      <c r="AI47" s="42">
        <f t="shared" si="11"/>
        <v>20493.109655172419</v>
      </c>
      <c r="AJ47" s="44">
        <f t="shared" si="12"/>
        <v>40.833333333333329</v>
      </c>
      <c r="AK47" s="45">
        <f t="shared" si="13"/>
        <v>39428.571428571428</v>
      </c>
      <c r="AL47" s="45">
        <f t="shared" si="14"/>
        <v>24874.281306122448</v>
      </c>
      <c r="AM47" s="45">
        <f t="shared" si="15"/>
        <v>14554.29012244898</v>
      </c>
      <c r="AN47" s="23">
        <f t="shared" si="20"/>
        <v>1.4080459770114941</v>
      </c>
      <c r="AP47" s="20" t="e">
        <f>IF(AH47/S47&lt;#REF!,AH47,0)</f>
        <v>#REF!</v>
      </c>
      <c r="AQ47" s="11" t="e">
        <f>IF(AP47&gt;0,(#REF!*S47-AP47)*AE47/1000*1.302*4,0)</f>
        <v>#REF!</v>
      </c>
    </row>
    <row r="48" spans="1:43" x14ac:dyDescent="0.25">
      <c r="A48" s="8" t="s">
        <v>23</v>
      </c>
      <c r="B48" s="30" t="s">
        <v>315</v>
      </c>
      <c r="C48" s="8">
        <v>238</v>
      </c>
      <c r="D48" s="8">
        <v>297</v>
      </c>
      <c r="E48" s="8">
        <v>28</v>
      </c>
      <c r="F48" s="8">
        <f t="shared" si="0"/>
        <v>563</v>
      </c>
      <c r="G48" s="8">
        <v>1</v>
      </c>
      <c r="J48" s="8">
        <f t="shared" si="1"/>
        <v>1</v>
      </c>
      <c r="K48" s="8">
        <v>7</v>
      </c>
      <c r="L48" s="8">
        <v>4</v>
      </c>
      <c r="M48" s="8">
        <v>1</v>
      </c>
      <c r="N48" s="8">
        <f t="shared" si="2"/>
        <v>12</v>
      </c>
      <c r="O48" s="8">
        <v>9</v>
      </c>
      <c r="P48" s="8">
        <v>12</v>
      </c>
      <c r="Q48" s="8">
        <v>2</v>
      </c>
      <c r="R48" s="8">
        <f t="shared" si="3"/>
        <v>23</v>
      </c>
      <c r="S48" s="31">
        <v>1.5</v>
      </c>
      <c r="T48" s="30">
        <v>1.25</v>
      </c>
      <c r="U48" s="66">
        <f>IF(A48='Свод по районам'!$A$11,'Свод по районам'!$G$11,0)</f>
        <v>1.3302169816672833</v>
      </c>
      <c r="V48" s="30">
        <f t="shared" si="4"/>
        <v>1651.5</v>
      </c>
      <c r="W48" s="12">
        <f t="shared" si="16"/>
        <v>1288.7427745664741</v>
      </c>
      <c r="X48" s="11">
        <v>1139.8432899999998</v>
      </c>
      <c r="Y48" s="17">
        <f t="shared" si="5"/>
        <v>511.6567100000002</v>
      </c>
      <c r="Z48" s="17">
        <f t="shared" si="17"/>
        <v>511.6567100000002</v>
      </c>
      <c r="AA48" s="17">
        <f t="shared" si="6"/>
        <v>0</v>
      </c>
      <c r="AB48" s="20">
        <f t="shared" si="7"/>
        <v>148.89948456647426</v>
      </c>
      <c r="AC48" s="17">
        <f t="shared" si="18"/>
        <v>148.89948456647426</v>
      </c>
      <c r="AD48" s="17">
        <f t="shared" si="8"/>
        <v>0</v>
      </c>
      <c r="AE48" s="8">
        <v>30</v>
      </c>
      <c r="AF48" s="28">
        <f t="shared" si="9"/>
        <v>55050</v>
      </c>
      <c r="AG48" s="28">
        <f t="shared" si="19"/>
        <v>42958.092485549139</v>
      </c>
      <c r="AH48" s="28">
        <f t="shared" si="10"/>
        <v>37994.776333333328</v>
      </c>
      <c r="AI48" s="42">
        <f t="shared" si="11"/>
        <v>17055.223666666672</v>
      </c>
      <c r="AJ48" s="44">
        <f t="shared" si="12"/>
        <v>38.444444444444443</v>
      </c>
      <c r="AK48" s="45">
        <f t="shared" si="13"/>
        <v>42958.092485549139</v>
      </c>
      <c r="AL48" s="45">
        <f t="shared" si="14"/>
        <v>29649.10291907514</v>
      </c>
      <c r="AM48" s="45">
        <f t="shared" si="15"/>
        <v>13308.989566474</v>
      </c>
      <c r="AN48" s="23">
        <f t="shared" si="20"/>
        <v>1.2814814814814814</v>
      </c>
      <c r="AP48" s="20" t="e">
        <f>IF(AH48/S48&lt;#REF!,AH48,0)</f>
        <v>#REF!</v>
      </c>
      <c r="AQ48" s="11" t="e">
        <f>IF(AP48&gt;0,(#REF!*S48-AP48)*AE48/1000*1.302*4,0)</f>
        <v>#REF!</v>
      </c>
    </row>
    <row r="49" spans="1:43" x14ac:dyDescent="0.25">
      <c r="A49" s="8" t="s">
        <v>23</v>
      </c>
      <c r="B49" s="30" t="s">
        <v>306</v>
      </c>
      <c r="C49" s="8">
        <v>228</v>
      </c>
      <c r="D49" s="8">
        <v>221</v>
      </c>
      <c r="E49" s="8">
        <v>30</v>
      </c>
      <c r="F49" s="8">
        <f t="shared" si="0"/>
        <v>479</v>
      </c>
      <c r="G49" s="8">
        <v>1</v>
      </c>
      <c r="H49" s="8">
        <v>2</v>
      </c>
      <c r="J49" s="8">
        <f t="shared" si="1"/>
        <v>3</v>
      </c>
      <c r="K49" s="8">
        <v>3</v>
      </c>
      <c r="L49" s="8">
        <v>3</v>
      </c>
      <c r="M49" s="8">
        <v>0</v>
      </c>
      <c r="N49" s="8">
        <f t="shared" si="2"/>
        <v>6</v>
      </c>
      <c r="O49" s="8">
        <v>9</v>
      </c>
      <c r="P49" s="8">
        <v>11</v>
      </c>
      <c r="Q49" s="8">
        <v>2</v>
      </c>
      <c r="R49" s="8">
        <f t="shared" si="3"/>
        <v>22</v>
      </c>
      <c r="S49" s="31">
        <v>1.5</v>
      </c>
      <c r="T49" s="30">
        <v>1.25</v>
      </c>
      <c r="U49" s="66">
        <f>IF(A49='Свод по районам'!$A$11,'Свод по районам'!$G$11,0)</f>
        <v>1.3302169816672833</v>
      </c>
      <c r="V49" s="30">
        <f t="shared" si="4"/>
        <v>1412.9</v>
      </c>
      <c r="W49" s="12">
        <f t="shared" si="16"/>
        <v>1157.7066079295157</v>
      </c>
      <c r="X49" s="11">
        <v>1029.6729899999998</v>
      </c>
      <c r="Y49" s="17">
        <f t="shared" si="5"/>
        <v>383.22701000000029</v>
      </c>
      <c r="Z49" s="17">
        <f t="shared" si="17"/>
        <v>383.22701000000029</v>
      </c>
      <c r="AA49" s="17">
        <f t="shared" si="6"/>
        <v>0</v>
      </c>
      <c r="AB49" s="20">
        <f t="shared" si="7"/>
        <v>128.03361792951591</v>
      </c>
      <c r="AC49" s="17">
        <f t="shared" si="18"/>
        <v>128.03361792951591</v>
      </c>
      <c r="AD49" s="17">
        <f t="shared" si="8"/>
        <v>0</v>
      </c>
      <c r="AE49" s="8">
        <v>31</v>
      </c>
      <c r="AF49" s="28">
        <f t="shared" si="9"/>
        <v>45577.419354838712</v>
      </c>
      <c r="AG49" s="28">
        <f t="shared" si="19"/>
        <v>37345.374449339215</v>
      </c>
      <c r="AH49" s="28">
        <f t="shared" si="10"/>
        <v>33215.257741935471</v>
      </c>
      <c r="AI49" s="42">
        <f t="shared" si="11"/>
        <v>12362.161612903241</v>
      </c>
      <c r="AJ49" s="44">
        <f t="shared" si="12"/>
        <v>37.833333333333329</v>
      </c>
      <c r="AK49" s="45">
        <f t="shared" si="13"/>
        <v>37345.374449339208</v>
      </c>
      <c r="AL49" s="45">
        <f t="shared" si="14"/>
        <v>27216.02616740088</v>
      </c>
      <c r="AM49" s="45">
        <f t="shared" si="15"/>
        <v>10129.348281938328</v>
      </c>
      <c r="AN49" s="23">
        <f t="shared" si="20"/>
        <v>1.2204301075268815</v>
      </c>
      <c r="AP49" s="20" t="e">
        <f>IF(AH49/S49&lt;#REF!,AH49,0)</f>
        <v>#REF!</v>
      </c>
      <c r="AQ49" s="11" t="e">
        <f>IF(AP49&gt;0,(#REF!*S49-AP49)*AE49/1000*1.302*4,0)</f>
        <v>#REF!</v>
      </c>
    </row>
    <row r="50" spans="1:43" x14ac:dyDescent="0.25">
      <c r="A50" s="8" t="s">
        <v>23</v>
      </c>
      <c r="B50" s="30" t="s">
        <v>312</v>
      </c>
      <c r="C50" s="8">
        <v>265</v>
      </c>
      <c r="D50" s="8">
        <v>189</v>
      </c>
      <c r="E50" s="8">
        <v>14</v>
      </c>
      <c r="F50" s="8">
        <f t="shared" si="0"/>
        <v>468</v>
      </c>
      <c r="G50" s="8">
        <v>1</v>
      </c>
      <c r="H50" s="8">
        <v>1</v>
      </c>
      <c r="J50" s="8">
        <f t="shared" si="1"/>
        <v>2</v>
      </c>
      <c r="K50" s="8">
        <v>3</v>
      </c>
      <c r="L50" s="8">
        <v>2</v>
      </c>
      <c r="M50" s="8">
        <v>0</v>
      </c>
      <c r="N50" s="8">
        <f t="shared" si="2"/>
        <v>5</v>
      </c>
      <c r="O50" s="8">
        <v>10</v>
      </c>
      <c r="P50" s="8">
        <v>9</v>
      </c>
      <c r="Q50" s="8">
        <v>2</v>
      </c>
      <c r="R50" s="8">
        <f t="shared" si="3"/>
        <v>21</v>
      </c>
      <c r="S50" s="31">
        <v>1.5</v>
      </c>
      <c r="T50" s="30">
        <v>1.25</v>
      </c>
      <c r="U50" s="66">
        <f>IF(A50='Свод по районам'!$A$11,'Свод по районам'!$G$11,0)</f>
        <v>1.3302169816672833</v>
      </c>
      <c r="V50" s="30">
        <f t="shared" si="4"/>
        <v>1294.5</v>
      </c>
      <c r="W50" s="12">
        <f t="shared" si="16"/>
        <v>964.69108280254784</v>
      </c>
      <c r="X50" s="11">
        <v>951.81544999999983</v>
      </c>
      <c r="Y50" s="17">
        <f t="shared" si="5"/>
        <v>342.68455000000017</v>
      </c>
      <c r="Z50" s="17">
        <f t="shared" si="17"/>
        <v>342.68455000000017</v>
      </c>
      <c r="AA50" s="17">
        <f t="shared" si="6"/>
        <v>0</v>
      </c>
      <c r="AB50" s="20">
        <f t="shared" si="7"/>
        <v>12.875632802548012</v>
      </c>
      <c r="AC50" s="17">
        <f t="shared" si="18"/>
        <v>12.875632802548012</v>
      </c>
      <c r="AD50" s="17">
        <f t="shared" si="8"/>
        <v>0</v>
      </c>
      <c r="AE50" s="8">
        <v>26</v>
      </c>
      <c r="AF50" s="28">
        <f t="shared" si="9"/>
        <v>49788.461538461539</v>
      </c>
      <c r="AG50" s="28">
        <f t="shared" si="19"/>
        <v>37103.503184713372</v>
      </c>
      <c r="AH50" s="28">
        <f t="shared" si="10"/>
        <v>36608.286538461536</v>
      </c>
      <c r="AI50" s="42">
        <f t="shared" si="11"/>
        <v>13180.175000000003</v>
      </c>
      <c r="AJ50" s="44">
        <f t="shared" ref="AJ50:AJ80" si="21">(O50*$E$10+P50*$E$11+Q50*$E$12)+(G50*$S$10+H50*$S$11+I50*$S$12)</f>
        <v>34.888888888888886</v>
      </c>
      <c r="AK50" s="45">
        <f t="shared" si="13"/>
        <v>37103.50318471338</v>
      </c>
      <c r="AL50" s="45">
        <f t="shared" si="14"/>
        <v>27281.334554140125</v>
      </c>
      <c r="AM50" s="45">
        <f t="shared" si="15"/>
        <v>9822.1686305732546</v>
      </c>
      <c r="AN50" s="23">
        <f t="shared" si="20"/>
        <v>1.3418803418803418</v>
      </c>
      <c r="AP50" s="20" t="e">
        <f>IF(AH50/S50&lt;#REF!,AH50,0)</f>
        <v>#REF!</v>
      </c>
      <c r="AQ50" s="11" t="e">
        <f>IF(AP50&gt;0,(#REF!*S50-AP50)*AE50/1000*1.302*4,0)</f>
        <v>#REF!</v>
      </c>
    </row>
    <row r="51" spans="1:43" x14ac:dyDescent="0.25">
      <c r="A51" s="8" t="s">
        <v>23</v>
      </c>
      <c r="B51" s="30" t="s">
        <v>320</v>
      </c>
      <c r="C51" s="8">
        <v>224</v>
      </c>
      <c r="D51" s="8">
        <v>259</v>
      </c>
      <c r="E51" s="8">
        <v>51</v>
      </c>
      <c r="F51" s="8">
        <f t="shared" si="0"/>
        <v>534</v>
      </c>
      <c r="J51" s="8">
        <f t="shared" si="1"/>
        <v>0</v>
      </c>
      <c r="K51" s="8">
        <v>5</v>
      </c>
      <c r="L51" s="8">
        <v>2</v>
      </c>
      <c r="M51" s="8">
        <v>0</v>
      </c>
      <c r="N51" s="8">
        <f t="shared" si="2"/>
        <v>7</v>
      </c>
      <c r="O51" s="8">
        <v>8</v>
      </c>
      <c r="P51" s="8">
        <v>10</v>
      </c>
      <c r="Q51" s="8">
        <v>2</v>
      </c>
      <c r="R51" s="8">
        <f t="shared" si="3"/>
        <v>20</v>
      </c>
      <c r="S51" s="31">
        <v>1.5</v>
      </c>
      <c r="T51" s="30">
        <v>1</v>
      </c>
      <c r="U51" s="66">
        <f>IF(A51='Свод по районам'!$A$11,'Свод по районам'!$G$11,0)</f>
        <v>1.3302169816672833</v>
      </c>
      <c r="V51" s="30">
        <f t="shared" si="4"/>
        <v>1280.8</v>
      </c>
      <c r="W51" s="12">
        <f t="shared" si="16"/>
        <v>970.30303030303025</v>
      </c>
      <c r="X51" s="11">
        <v>992.95523999999989</v>
      </c>
      <c r="Y51" s="17">
        <f t="shared" si="5"/>
        <v>287.84476000000006</v>
      </c>
      <c r="Z51" s="17">
        <f t="shared" si="17"/>
        <v>287.84476000000006</v>
      </c>
      <c r="AA51" s="17">
        <f t="shared" si="6"/>
        <v>0</v>
      </c>
      <c r="AB51" s="20">
        <f t="shared" si="7"/>
        <v>-22.652209696969635</v>
      </c>
      <c r="AC51" s="17">
        <f t="shared" si="18"/>
        <v>0</v>
      </c>
      <c r="AD51" s="17">
        <f t="shared" si="8"/>
        <v>-22.652209696969635</v>
      </c>
      <c r="AE51" s="8">
        <v>25</v>
      </c>
      <c r="AF51" s="28">
        <f t="shared" si="9"/>
        <v>51232</v>
      </c>
      <c r="AG51" s="28">
        <f t="shared" si="19"/>
        <v>38812.121212121216</v>
      </c>
      <c r="AH51" s="28">
        <f t="shared" si="10"/>
        <v>39718.209599999995</v>
      </c>
      <c r="AI51" s="42">
        <f t="shared" si="11"/>
        <v>11513.790400000005</v>
      </c>
      <c r="AJ51" s="44">
        <f t="shared" si="21"/>
        <v>33</v>
      </c>
      <c r="AK51" s="45">
        <f t="shared" si="13"/>
        <v>38812.121212121216</v>
      </c>
      <c r="AL51" s="45">
        <f t="shared" si="14"/>
        <v>30089.552727272727</v>
      </c>
      <c r="AM51" s="45">
        <f t="shared" si="15"/>
        <v>8722.5684848484889</v>
      </c>
      <c r="AN51" s="23">
        <f t="shared" si="20"/>
        <v>1.32</v>
      </c>
      <c r="AP51" s="20" t="e">
        <f>IF(AH51/S51&lt;#REF!,AH51,0)</f>
        <v>#REF!</v>
      </c>
      <c r="AQ51" s="11" t="e">
        <f>IF(AP51&gt;0,(#REF!*S51-AP51)*AE51/1000*1.302*4,0)</f>
        <v>#REF!</v>
      </c>
    </row>
    <row r="52" spans="1:43" x14ac:dyDescent="0.25">
      <c r="A52" s="8" t="s">
        <v>23</v>
      </c>
      <c r="B52" s="30" t="s">
        <v>308</v>
      </c>
      <c r="C52" s="8">
        <v>168</v>
      </c>
      <c r="D52" s="8">
        <v>165</v>
      </c>
      <c r="E52" s="8">
        <v>35</v>
      </c>
      <c r="F52" s="8">
        <f t="shared" si="0"/>
        <v>368</v>
      </c>
      <c r="G52" s="8">
        <v>2</v>
      </c>
      <c r="J52" s="8">
        <f t="shared" si="1"/>
        <v>2</v>
      </c>
      <c r="K52" s="8">
        <v>3</v>
      </c>
      <c r="L52" s="8">
        <v>0</v>
      </c>
      <c r="M52" s="8">
        <v>0</v>
      </c>
      <c r="N52" s="8">
        <f t="shared" si="2"/>
        <v>3</v>
      </c>
      <c r="O52" s="8">
        <v>8</v>
      </c>
      <c r="P52" s="8">
        <v>8</v>
      </c>
      <c r="Q52" s="8">
        <v>2</v>
      </c>
      <c r="R52" s="8">
        <f t="shared" si="3"/>
        <v>18</v>
      </c>
      <c r="S52" s="31">
        <v>1.5</v>
      </c>
      <c r="T52" s="30">
        <v>1.25</v>
      </c>
      <c r="U52" s="66">
        <f>IF(A52='Свод по районам'!$A$11,'Свод по районам'!$G$11,0)</f>
        <v>1.3302169816672833</v>
      </c>
      <c r="V52" s="30">
        <f t="shared" si="4"/>
        <v>1106.3</v>
      </c>
      <c r="W52" s="12">
        <f t="shared" si="16"/>
        <v>878.53235294117644</v>
      </c>
      <c r="X52" s="11">
        <v>791.84782999999993</v>
      </c>
      <c r="Y52" s="17">
        <f t="shared" si="5"/>
        <v>314.45217000000002</v>
      </c>
      <c r="Z52" s="17">
        <f t="shared" si="17"/>
        <v>314.45217000000002</v>
      </c>
      <c r="AA52" s="17">
        <f t="shared" si="6"/>
        <v>0</v>
      </c>
      <c r="AB52" s="20">
        <f t="shared" si="7"/>
        <v>86.68452294117651</v>
      </c>
      <c r="AC52" s="17">
        <f t="shared" si="18"/>
        <v>86.68452294117651</v>
      </c>
      <c r="AD52" s="17">
        <f t="shared" si="8"/>
        <v>0</v>
      </c>
      <c r="AE52" s="8">
        <v>24</v>
      </c>
      <c r="AF52" s="28">
        <f t="shared" si="9"/>
        <v>46095.833333333328</v>
      </c>
      <c r="AG52" s="28">
        <f t="shared" si="19"/>
        <v>36605.51470588235</v>
      </c>
      <c r="AH52" s="28">
        <f t="shared" si="10"/>
        <v>32993.659583333334</v>
      </c>
      <c r="AI52" s="42">
        <f t="shared" si="11"/>
        <v>13102.173749999994</v>
      </c>
      <c r="AJ52" s="44">
        <f t="shared" si="21"/>
        <v>30.222222222222221</v>
      </c>
      <c r="AK52" s="45">
        <f t="shared" si="13"/>
        <v>36605.51470588235</v>
      </c>
      <c r="AL52" s="45">
        <f t="shared" si="14"/>
        <v>26200.847316176467</v>
      </c>
      <c r="AM52" s="45">
        <f t="shared" si="15"/>
        <v>10404.667389705883</v>
      </c>
      <c r="AN52" s="23">
        <f t="shared" si="20"/>
        <v>1.2592592592592593</v>
      </c>
      <c r="AP52" s="20" t="e">
        <f>IF(AH52/S52&lt;#REF!,AH52,0)</f>
        <v>#REF!</v>
      </c>
      <c r="AQ52" s="11" t="e">
        <f>IF(AP52&gt;0,(#REF!*S52-AP52)*AE52/1000*1.302*4,0)</f>
        <v>#REF!</v>
      </c>
    </row>
    <row r="53" spans="1:43" x14ac:dyDescent="0.25">
      <c r="A53" s="8" t="s">
        <v>23</v>
      </c>
      <c r="B53" s="30" t="s">
        <v>309</v>
      </c>
      <c r="C53" s="8">
        <v>132</v>
      </c>
      <c r="D53" s="8">
        <v>192</v>
      </c>
      <c r="E53" s="8">
        <v>15</v>
      </c>
      <c r="F53" s="8">
        <f t="shared" si="0"/>
        <v>339</v>
      </c>
      <c r="G53" s="8">
        <v>1</v>
      </c>
      <c r="H53" s="8">
        <v>1</v>
      </c>
      <c r="I53" s="8">
        <v>1</v>
      </c>
      <c r="J53" s="8">
        <f t="shared" si="1"/>
        <v>3</v>
      </c>
      <c r="K53" s="8">
        <v>3</v>
      </c>
      <c r="L53" s="8">
        <v>1</v>
      </c>
      <c r="M53" s="8">
        <v>0</v>
      </c>
      <c r="N53" s="8">
        <f t="shared" si="2"/>
        <v>4</v>
      </c>
      <c r="O53" s="8">
        <v>8</v>
      </c>
      <c r="P53" s="8">
        <v>10</v>
      </c>
      <c r="Q53" s="8">
        <v>1</v>
      </c>
      <c r="R53" s="8">
        <f t="shared" si="3"/>
        <v>19</v>
      </c>
      <c r="S53" s="31">
        <v>1.5</v>
      </c>
      <c r="T53" s="30">
        <v>1.25</v>
      </c>
      <c r="U53" s="66">
        <f>IF(A53='Свод по районам'!$A$11,'Свод по районам'!$G$11,0)</f>
        <v>1.3302169816672833</v>
      </c>
      <c r="V53" s="30">
        <f t="shared" si="4"/>
        <v>1029.7</v>
      </c>
      <c r="W53" s="12">
        <f t="shared" si="16"/>
        <v>692.29405772495761</v>
      </c>
      <c r="X53" s="11">
        <v>854.28048999999987</v>
      </c>
      <c r="Y53" s="17">
        <f t="shared" si="5"/>
        <v>175.41951000000017</v>
      </c>
      <c r="Z53" s="17">
        <f t="shared" si="17"/>
        <v>175.41951000000017</v>
      </c>
      <c r="AA53" s="17">
        <f t="shared" si="6"/>
        <v>0</v>
      </c>
      <c r="AB53" s="20">
        <f t="shared" si="7"/>
        <v>-161.98643227504226</v>
      </c>
      <c r="AC53" s="17">
        <f t="shared" si="18"/>
        <v>0</v>
      </c>
      <c r="AD53" s="17">
        <f t="shared" si="8"/>
        <v>-161.98643227504226</v>
      </c>
      <c r="AE53" s="8">
        <v>22</v>
      </c>
      <c r="AF53" s="28">
        <f t="shared" si="9"/>
        <v>46804.545454545456</v>
      </c>
      <c r="AG53" s="28">
        <f t="shared" si="19"/>
        <v>31467.911714770798</v>
      </c>
      <c r="AH53" s="28">
        <f t="shared" si="10"/>
        <v>38830.931363636359</v>
      </c>
      <c r="AI53" s="42">
        <f t="shared" si="11"/>
        <v>7973.6140909090973</v>
      </c>
      <c r="AJ53" s="44">
        <f t="shared" si="21"/>
        <v>32.722222222222221</v>
      </c>
      <c r="AK53" s="45">
        <f t="shared" si="13"/>
        <v>31467.911714770798</v>
      </c>
      <c r="AL53" s="45">
        <f t="shared" si="14"/>
        <v>26107.043837011883</v>
      </c>
      <c r="AM53" s="45">
        <f t="shared" si="15"/>
        <v>5360.8678777589157</v>
      </c>
      <c r="AN53" s="23">
        <f t="shared" si="20"/>
        <v>1.4873737373737372</v>
      </c>
      <c r="AP53" s="20" t="e">
        <f>IF(AH53/S53&lt;#REF!,AH53,0)</f>
        <v>#REF!</v>
      </c>
      <c r="AQ53" s="11" t="e">
        <f>IF(AP53&gt;0,(#REF!*S53-AP53)*AE53/1000*1.302*4,0)</f>
        <v>#REF!</v>
      </c>
    </row>
    <row r="54" spans="1:43" x14ac:dyDescent="0.25">
      <c r="A54" s="8" t="s">
        <v>23</v>
      </c>
      <c r="B54" s="30" t="s">
        <v>311</v>
      </c>
      <c r="C54" s="8">
        <v>104</v>
      </c>
      <c r="D54" s="8">
        <v>131</v>
      </c>
      <c r="E54" s="8">
        <v>16</v>
      </c>
      <c r="F54" s="8">
        <f t="shared" si="0"/>
        <v>251</v>
      </c>
      <c r="G54" s="8">
        <v>3</v>
      </c>
      <c r="H54" s="8">
        <v>2</v>
      </c>
      <c r="J54" s="8">
        <f t="shared" si="1"/>
        <v>5</v>
      </c>
      <c r="K54" s="8">
        <v>2</v>
      </c>
      <c r="L54" s="8">
        <v>2</v>
      </c>
      <c r="M54" s="8">
        <v>0</v>
      </c>
      <c r="N54" s="8">
        <f t="shared" si="2"/>
        <v>4</v>
      </c>
      <c r="O54" s="8">
        <v>5</v>
      </c>
      <c r="P54" s="8">
        <v>7</v>
      </c>
      <c r="Q54" s="8">
        <v>2</v>
      </c>
      <c r="R54" s="8">
        <f t="shared" si="3"/>
        <v>14</v>
      </c>
      <c r="S54" s="31">
        <v>1.5</v>
      </c>
      <c r="T54" s="30">
        <v>1.25</v>
      </c>
      <c r="U54" s="66">
        <f>IF(A54='Свод по районам'!$A$11,'Свод по районам'!$G$11,0)</f>
        <v>1.3302169816672833</v>
      </c>
      <c r="V54" s="30">
        <f t="shared" si="4"/>
        <v>793.7</v>
      </c>
      <c r="W54" s="12">
        <f t="shared" si="16"/>
        <v>548.31300639658855</v>
      </c>
      <c r="X54" s="11">
        <v>515.92827000000011</v>
      </c>
      <c r="Y54" s="17">
        <f t="shared" si="5"/>
        <v>277.77172999999993</v>
      </c>
      <c r="Z54" s="17">
        <f t="shared" si="17"/>
        <v>277.77172999999993</v>
      </c>
      <c r="AA54" s="17">
        <f t="shared" si="6"/>
        <v>0</v>
      </c>
      <c r="AB54" s="20">
        <f t="shared" si="7"/>
        <v>32.384736396588437</v>
      </c>
      <c r="AC54" s="17">
        <f t="shared" si="18"/>
        <v>32.384736396588437</v>
      </c>
      <c r="AD54" s="17">
        <f t="shared" si="8"/>
        <v>0</v>
      </c>
      <c r="AE54" s="8">
        <v>18</v>
      </c>
      <c r="AF54" s="28">
        <f t="shared" si="9"/>
        <v>44094.444444444445</v>
      </c>
      <c r="AG54" s="28">
        <f t="shared" si="19"/>
        <v>30461.833688699364</v>
      </c>
      <c r="AH54" s="28">
        <f t="shared" si="10"/>
        <v>28662.681666666671</v>
      </c>
      <c r="AI54" s="42">
        <f t="shared" si="11"/>
        <v>15431.762777777774</v>
      </c>
      <c r="AJ54" s="44">
        <f t="shared" si="21"/>
        <v>26.055555555555557</v>
      </c>
      <c r="AK54" s="45">
        <f t="shared" si="13"/>
        <v>30461.83368869936</v>
      </c>
      <c r="AL54" s="45">
        <f t="shared" si="14"/>
        <v>19801.084989339022</v>
      </c>
      <c r="AM54" s="45">
        <f t="shared" si="15"/>
        <v>10660.748699360338</v>
      </c>
      <c r="AN54" s="23">
        <f t="shared" si="20"/>
        <v>1.4475308641975309</v>
      </c>
      <c r="AP54" s="20" t="e">
        <f>IF(AH54/S54&lt;#REF!,AH54,0)</f>
        <v>#REF!</v>
      </c>
      <c r="AQ54" s="11" t="e">
        <f>IF(AP54&gt;0,(#REF!*S54-AP54)*AE54/1000*1.302*4,0)</f>
        <v>#REF!</v>
      </c>
    </row>
    <row r="55" spans="1:43" x14ac:dyDescent="0.25">
      <c r="A55" s="8" t="s">
        <v>23</v>
      </c>
      <c r="B55" s="30" t="s">
        <v>318</v>
      </c>
      <c r="C55" s="8">
        <v>88</v>
      </c>
      <c r="D55" s="8">
        <v>139</v>
      </c>
      <c r="E55" s="8">
        <v>0</v>
      </c>
      <c r="F55" s="8">
        <f t="shared" si="0"/>
        <v>227</v>
      </c>
      <c r="G55" s="8">
        <v>2</v>
      </c>
      <c r="H55" s="8">
        <v>1</v>
      </c>
      <c r="J55" s="8">
        <f t="shared" si="1"/>
        <v>3</v>
      </c>
      <c r="K55" s="8">
        <v>3</v>
      </c>
      <c r="L55" s="8">
        <v>1</v>
      </c>
      <c r="M55" s="8">
        <v>0</v>
      </c>
      <c r="N55" s="8">
        <f t="shared" si="2"/>
        <v>4</v>
      </c>
      <c r="O55" s="8">
        <v>4</v>
      </c>
      <c r="P55" s="8">
        <v>5</v>
      </c>
      <c r="Q55" s="8">
        <v>0</v>
      </c>
      <c r="R55" s="8">
        <f t="shared" si="3"/>
        <v>9</v>
      </c>
      <c r="S55" s="31">
        <v>1.5</v>
      </c>
      <c r="T55" s="30">
        <v>1</v>
      </c>
      <c r="U55" s="66">
        <f>IF(A55='Свод по районам'!$A$11,'Свод по районам'!$G$11,0)</f>
        <v>1.3302169816672833</v>
      </c>
      <c r="V55" s="30">
        <f t="shared" si="4"/>
        <v>544.70000000000005</v>
      </c>
      <c r="W55" s="12">
        <f t="shared" si="16"/>
        <v>442.56875000000002</v>
      </c>
      <c r="X55" s="11">
        <v>384.89632</v>
      </c>
      <c r="Y55" s="17">
        <f t="shared" si="5"/>
        <v>159.80368000000004</v>
      </c>
      <c r="Z55" s="17">
        <f t="shared" si="17"/>
        <v>159.80368000000004</v>
      </c>
      <c r="AA55" s="17">
        <f t="shared" si="6"/>
        <v>0</v>
      </c>
      <c r="AB55" s="20">
        <f t="shared" si="7"/>
        <v>57.67243000000002</v>
      </c>
      <c r="AC55" s="17">
        <f t="shared" si="18"/>
        <v>57.67243000000002</v>
      </c>
      <c r="AD55" s="17">
        <f t="shared" si="8"/>
        <v>0</v>
      </c>
      <c r="AE55" s="8">
        <v>13</v>
      </c>
      <c r="AF55" s="28">
        <f t="shared" si="9"/>
        <v>41900.000000000007</v>
      </c>
      <c r="AG55" s="28">
        <f t="shared" si="19"/>
        <v>34043.75</v>
      </c>
      <c r="AH55" s="28">
        <f t="shared" si="10"/>
        <v>29607.409230769234</v>
      </c>
      <c r="AI55" s="42">
        <f t="shared" si="11"/>
        <v>12292.590769230774</v>
      </c>
      <c r="AJ55" s="44">
        <f t="shared" si="21"/>
        <v>16</v>
      </c>
      <c r="AK55" s="45">
        <f t="shared" si="13"/>
        <v>34043.75</v>
      </c>
      <c r="AL55" s="45">
        <f t="shared" si="14"/>
        <v>24056.02</v>
      </c>
      <c r="AM55" s="45">
        <f t="shared" si="15"/>
        <v>9987.73</v>
      </c>
      <c r="AN55" s="23">
        <f t="shared" si="20"/>
        <v>1.2307692307692308</v>
      </c>
      <c r="AP55" s="20" t="e">
        <f>IF(AH55/S55&lt;#REF!,AH55,0)</f>
        <v>#REF!</v>
      </c>
      <c r="AQ55" s="11" t="e">
        <f>IF(AP55&gt;0,(#REF!*S55-AP55)*AE55/1000*1.302*4,0)</f>
        <v>#REF!</v>
      </c>
    </row>
    <row r="56" spans="1:43" x14ac:dyDescent="0.25">
      <c r="A56" s="8" t="s">
        <v>23</v>
      </c>
      <c r="B56" s="30" t="s">
        <v>305</v>
      </c>
      <c r="C56" s="8">
        <v>98</v>
      </c>
      <c r="D56" s="8">
        <v>87</v>
      </c>
      <c r="E56" s="8">
        <v>24</v>
      </c>
      <c r="F56" s="8">
        <f t="shared" si="0"/>
        <v>209</v>
      </c>
      <c r="G56" s="8">
        <v>4</v>
      </c>
      <c r="H56" s="8">
        <v>2</v>
      </c>
      <c r="J56" s="8">
        <f t="shared" si="1"/>
        <v>6</v>
      </c>
      <c r="K56" s="8">
        <v>0</v>
      </c>
      <c r="L56" s="8">
        <v>1</v>
      </c>
      <c r="M56" s="8">
        <v>0</v>
      </c>
      <c r="N56" s="8">
        <f t="shared" si="2"/>
        <v>1</v>
      </c>
      <c r="O56" s="8">
        <v>5</v>
      </c>
      <c r="P56" s="8">
        <v>5</v>
      </c>
      <c r="Q56" s="8">
        <v>2</v>
      </c>
      <c r="R56" s="8">
        <f t="shared" si="3"/>
        <v>12</v>
      </c>
      <c r="S56" s="31">
        <v>1.5</v>
      </c>
      <c r="T56" s="30">
        <v>1.25</v>
      </c>
      <c r="U56" s="66">
        <f>IF(A56='Свод по районам'!$A$11,'Свод по районам'!$G$11,0)</f>
        <v>1.3302169816672833</v>
      </c>
      <c r="V56" s="30">
        <f t="shared" si="4"/>
        <v>685.4</v>
      </c>
      <c r="W56" s="12">
        <f t="shared" si="16"/>
        <v>510.2978102189781</v>
      </c>
      <c r="X56" s="11">
        <v>576.43860000000006</v>
      </c>
      <c r="Y56" s="17">
        <f t="shared" si="5"/>
        <v>108.96139999999991</v>
      </c>
      <c r="Z56" s="17">
        <f t="shared" si="17"/>
        <v>108.96139999999991</v>
      </c>
      <c r="AA56" s="17">
        <f t="shared" si="6"/>
        <v>0</v>
      </c>
      <c r="AB56" s="20">
        <f t="shared" si="7"/>
        <v>-66.140789781021965</v>
      </c>
      <c r="AC56" s="17">
        <f t="shared" si="18"/>
        <v>0</v>
      </c>
      <c r="AD56" s="17">
        <f t="shared" si="8"/>
        <v>-66.140789781021965</v>
      </c>
      <c r="AE56" s="8">
        <v>17</v>
      </c>
      <c r="AF56" s="28">
        <f t="shared" si="9"/>
        <v>40317.647058823524</v>
      </c>
      <c r="AG56" s="28">
        <f t="shared" si="19"/>
        <v>30017.518248175184</v>
      </c>
      <c r="AH56" s="28">
        <f t="shared" si="10"/>
        <v>33908.152941176471</v>
      </c>
      <c r="AI56" s="42">
        <f t="shared" si="11"/>
        <v>6409.4941176470529</v>
      </c>
      <c r="AJ56" s="44">
        <f t="shared" si="21"/>
        <v>22.833333333333332</v>
      </c>
      <c r="AK56" s="45">
        <f t="shared" si="13"/>
        <v>30017.518248175184</v>
      </c>
      <c r="AL56" s="45">
        <f t="shared" si="14"/>
        <v>25245.486131386864</v>
      </c>
      <c r="AM56" s="45">
        <f t="shared" si="15"/>
        <v>4772.0321167883194</v>
      </c>
      <c r="AN56" s="23">
        <f t="shared" si="20"/>
        <v>1.3431372549019607</v>
      </c>
      <c r="AP56" s="20" t="e">
        <f>IF(AH56/S56&lt;#REF!,AH56,0)</f>
        <v>#REF!</v>
      </c>
      <c r="AQ56" s="11" t="e">
        <f>IF(AP56&gt;0,(#REF!*S56-AP56)*AE56/1000*1.302*4,0)</f>
        <v>#REF!</v>
      </c>
    </row>
    <row r="57" spans="1:43" x14ac:dyDescent="0.25">
      <c r="A57" s="8" t="s">
        <v>23</v>
      </c>
      <c r="B57" s="30" t="s">
        <v>307</v>
      </c>
      <c r="C57" s="8">
        <v>92</v>
      </c>
      <c r="D57" s="8">
        <v>92</v>
      </c>
      <c r="E57" s="8">
        <v>7</v>
      </c>
      <c r="F57" s="8">
        <f t="shared" si="0"/>
        <v>191</v>
      </c>
      <c r="G57" s="8">
        <v>3</v>
      </c>
      <c r="J57" s="8">
        <f t="shared" si="1"/>
        <v>3</v>
      </c>
      <c r="K57" s="8">
        <v>5</v>
      </c>
      <c r="L57" s="8">
        <v>1</v>
      </c>
      <c r="M57" s="8">
        <v>0</v>
      </c>
      <c r="N57" s="8">
        <f t="shared" si="2"/>
        <v>6</v>
      </c>
      <c r="O57" s="8">
        <v>4</v>
      </c>
      <c r="P57" s="8">
        <v>5</v>
      </c>
      <c r="Q57" s="8">
        <v>1</v>
      </c>
      <c r="R57" s="8">
        <f t="shared" si="3"/>
        <v>10</v>
      </c>
      <c r="S57" s="31">
        <v>1.5</v>
      </c>
      <c r="T57" s="30">
        <v>1.25</v>
      </c>
      <c r="U57" s="66">
        <f>IF(A57='Свод по районам'!$A$11,'Свод по районам'!$G$11,0)</f>
        <v>1.3302169816672833</v>
      </c>
      <c r="V57" s="30">
        <f t="shared" si="4"/>
        <v>569.5</v>
      </c>
      <c r="W57" s="12">
        <f t="shared" si="16"/>
        <v>510.95327102803742</v>
      </c>
      <c r="X57" s="11">
        <v>564.10712999999998</v>
      </c>
      <c r="Y57" s="17">
        <f t="shared" si="5"/>
        <v>5.3928700000000163</v>
      </c>
      <c r="Z57" s="17">
        <f t="shared" si="17"/>
        <v>5.3928700000000163</v>
      </c>
      <c r="AA57" s="17">
        <f t="shared" si="6"/>
        <v>0</v>
      </c>
      <c r="AB57" s="20">
        <f t="shared" si="7"/>
        <v>-53.153858971962563</v>
      </c>
      <c r="AC57" s="17">
        <f t="shared" si="18"/>
        <v>0</v>
      </c>
      <c r="AD57" s="17">
        <f t="shared" si="8"/>
        <v>-53.153858971962563</v>
      </c>
      <c r="AE57" s="8">
        <v>16</v>
      </c>
      <c r="AF57" s="28">
        <f t="shared" si="9"/>
        <v>35593.75</v>
      </c>
      <c r="AG57" s="28">
        <f t="shared" si="19"/>
        <v>31934.579439252338</v>
      </c>
      <c r="AH57" s="28">
        <f t="shared" si="10"/>
        <v>35256.695625</v>
      </c>
      <c r="AI57" s="42">
        <f t="shared" si="11"/>
        <v>337.05437499999971</v>
      </c>
      <c r="AJ57" s="44">
        <f t="shared" si="21"/>
        <v>17.833333333333332</v>
      </c>
      <c r="AK57" s="45">
        <f t="shared" si="13"/>
        <v>31934.579439252338</v>
      </c>
      <c r="AL57" s="45">
        <f t="shared" si="14"/>
        <v>31632.175514018694</v>
      </c>
      <c r="AM57" s="45">
        <f t="shared" si="15"/>
        <v>302.40392523364426</v>
      </c>
      <c r="AN57" s="23">
        <f t="shared" si="20"/>
        <v>1.1145833333333333</v>
      </c>
      <c r="AP57" s="20" t="e">
        <f>IF(AH57/S57&lt;#REF!,AH57,0)</f>
        <v>#REF!</v>
      </c>
      <c r="AQ57" s="11" t="e">
        <f>IF(AP57&gt;0,(#REF!*S57-AP57)*AE57/1000*1.302*4,0)</f>
        <v>#REF!</v>
      </c>
    </row>
    <row r="58" spans="1:43" x14ac:dyDescent="0.25">
      <c r="A58" s="8" t="s">
        <v>23</v>
      </c>
      <c r="B58" s="30" t="s">
        <v>316</v>
      </c>
      <c r="C58" s="8">
        <v>75</v>
      </c>
      <c r="D58" s="8">
        <v>84</v>
      </c>
      <c r="E58" s="8">
        <v>18</v>
      </c>
      <c r="F58" s="8">
        <f t="shared" si="0"/>
        <v>177</v>
      </c>
      <c r="G58" s="8">
        <v>2</v>
      </c>
      <c r="J58" s="8">
        <f t="shared" si="1"/>
        <v>2</v>
      </c>
      <c r="K58" s="8">
        <v>3</v>
      </c>
      <c r="L58" s="8">
        <v>1</v>
      </c>
      <c r="M58" s="8">
        <v>0</v>
      </c>
      <c r="N58" s="8">
        <f t="shared" si="2"/>
        <v>4</v>
      </c>
      <c r="O58" s="8">
        <v>4</v>
      </c>
      <c r="P58" s="8">
        <v>5</v>
      </c>
      <c r="Q58" s="8">
        <v>2</v>
      </c>
      <c r="R58" s="8">
        <f t="shared" si="3"/>
        <v>11</v>
      </c>
      <c r="S58" s="31">
        <v>1.5</v>
      </c>
      <c r="T58" s="30">
        <v>1.25</v>
      </c>
      <c r="U58" s="66">
        <f>IF(A58='Свод по районам'!$A$11,'Свод по районам'!$G$11,0)</f>
        <v>1.3302169816672833</v>
      </c>
      <c r="V58" s="30">
        <f t="shared" si="4"/>
        <v>551.70000000000005</v>
      </c>
      <c r="W58" s="12">
        <f t="shared" si="16"/>
        <v>426.81661891117483</v>
      </c>
      <c r="X58" s="11">
        <v>486.57030999999995</v>
      </c>
      <c r="Y58" s="17">
        <f t="shared" si="5"/>
        <v>65.129690000000096</v>
      </c>
      <c r="Z58" s="17">
        <f t="shared" si="17"/>
        <v>65.129690000000096</v>
      </c>
      <c r="AA58" s="17">
        <f t="shared" si="6"/>
        <v>0</v>
      </c>
      <c r="AB58" s="20">
        <f t="shared" si="7"/>
        <v>-59.753691088825121</v>
      </c>
      <c r="AC58" s="17">
        <f t="shared" si="18"/>
        <v>0</v>
      </c>
      <c r="AD58" s="17">
        <f t="shared" si="8"/>
        <v>-59.753691088825121</v>
      </c>
      <c r="AE58" s="8">
        <v>15</v>
      </c>
      <c r="AF58" s="28">
        <f t="shared" si="9"/>
        <v>36780</v>
      </c>
      <c r="AG58" s="28">
        <f t="shared" si="19"/>
        <v>28454.441260744989</v>
      </c>
      <c r="AH58" s="28">
        <f t="shared" si="10"/>
        <v>32438.020666666667</v>
      </c>
      <c r="AI58" s="42">
        <f t="shared" si="11"/>
        <v>4341.9793333333328</v>
      </c>
      <c r="AJ58" s="44">
        <f t="shared" si="21"/>
        <v>19.388888888888889</v>
      </c>
      <c r="AK58" s="45">
        <f t="shared" si="13"/>
        <v>28454.441260744985</v>
      </c>
      <c r="AL58" s="45">
        <f t="shared" si="14"/>
        <v>25095.316848137532</v>
      </c>
      <c r="AM58" s="45">
        <f t="shared" si="15"/>
        <v>3359.1244126074525</v>
      </c>
      <c r="AN58" s="23">
        <f t="shared" si="20"/>
        <v>1.2925925925925925</v>
      </c>
      <c r="AP58" s="20" t="e">
        <f>IF(AH58/S58&lt;#REF!,AH58,0)</f>
        <v>#REF!</v>
      </c>
      <c r="AQ58" s="11" t="e">
        <f>IF(AP58&gt;0,(#REF!*S58-AP58)*AE58/1000*1.302*4,0)</f>
        <v>#REF!</v>
      </c>
    </row>
    <row r="59" spans="1:43" x14ac:dyDescent="0.25">
      <c r="A59" s="8" t="s">
        <v>23</v>
      </c>
      <c r="B59" s="30" t="s">
        <v>314</v>
      </c>
      <c r="C59" s="8">
        <v>62</v>
      </c>
      <c r="D59" s="8">
        <v>83</v>
      </c>
      <c r="E59" s="8">
        <v>5</v>
      </c>
      <c r="F59" s="8">
        <f t="shared" si="0"/>
        <v>150</v>
      </c>
      <c r="J59" s="8">
        <f t="shared" si="1"/>
        <v>0</v>
      </c>
      <c r="K59" s="8">
        <v>1</v>
      </c>
      <c r="L59" s="8">
        <v>4</v>
      </c>
      <c r="M59" s="8">
        <v>0</v>
      </c>
      <c r="N59" s="8">
        <f t="shared" si="2"/>
        <v>5</v>
      </c>
      <c r="O59" s="8">
        <v>4</v>
      </c>
      <c r="P59" s="8">
        <v>5</v>
      </c>
      <c r="Q59" s="8">
        <v>1</v>
      </c>
      <c r="R59" s="8">
        <f t="shared" si="3"/>
        <v>10</v>
      </c>
      <c r="S59" s="31">
        <v>1.5</v>
      </c>
      <c r="T59" s="30">
        <v>1.25</v>
      </c>
      <c r="U59" s="66">
        <f>IF(A59='Свод по районам'!$A$11,'Свод по районам'!$G$11,0)</f>
        <v>1.3302169816672833</v>
      </c>
      <c r="V59" s="30">
        <f t="shared" si="4"/>
        <v>435.8</v>
      </c>
      <c r="W59" s="12">
        <f t="shared" si="16"/>
        <v>343.35757575757577</v>
      </c>
      <c r="X59" s="11">
        <v>428.46879999999999</v>
      </c>
      <c r="Y59" s="17">
        <f t="shared" si="5"/>
        <v>7.3312000000000239</v>
      </c>
      <c r="Z59" s="17">
        <f t="shared" si="17"/>
        <v>7.3312000000000239</v>
      </c>
      <c r="AA59" s="17">
        <f t="shared" si="6"/>
        <v>0</v>
      </c>
      <c r="AB59" s="20">
        <f t="shared" si="7"/>
        <v>-85.111224242424214</v>
      </c>
      <c r="AC59" s="17">
        <f t="shared" si="18"/>
        <v>0</v>
      </c>
      <c r="AD59" s="17">
        <f t="shared" si="8"/>
        <v>-85.111224242424214</v>
      </c>
      <c r="AE59" s="8">
        <v>13</v>
      </c>
      <c r="AF59" s="28">
        <f t="shared" si="9"/>
        <v>33523.076923076922</v>
      </c>
      <c r="AG59" s="28">
        <f t="shared" si="19"/>
        <v>26412.121212121216</v>
      </c>
      <c r="AH59" s="28">
        <f t="shared" si="10"/>
        <v>32959.13846153846</v>
      </c>
      <c r="AI59" s="42">
        <f t="shared" si="11"/>
        <v>563.93846153846243</v>
      </c>
      <c r="AJ59" s="44">
        <f t="shared" si="21"/>
        <v>16.5</v>
      </c>
      <c r="AK59" s="45">
        <f t="shared" si="13"/>
        <v>26412.121212121216</v>
      </c>
      <c r="AL59" s="45">
        <f t="shared" si="14"/>
        <v>25967.806060606057</v>
      </c>
      <c r="AM59" s="45">
        <f t="shared" si="15"/>
        <v>444.3151515151585</v>
      </c>
      <c r="AN59" s="23">
        <f t="shared" si="20"/>
        <v>1.2692307692307692</v>
      </c>
      <c r="AP59" s="20" t="e">
        <f>IF(AH59/S59&lt;#REF!,AH59,0)</f>
        <v>#REF!</v>
      </c>
      <c r="AQ59" s="11" t="e">
        <f>IF(AP59&gt;0,(#REF!*S59-AP59)*AE59/1000*1.302*4,0)</f>
        <v>#REF!</v>
      </c>
    </row>
    <row r="60" spans="1:43" x14ac:dyDescent="0.25">
      <c r="A60" s="8" t="s">
        <v>23</v>
      </c>
      <c r="B60" s="30" t="s">
        <v>313</v>
      </c>
      <c r="C60" s="8">
        <v>61</v>
      </c>
      <c r="D60" s="8">
        <v>65</v>
      </c>
      <c r="E60" s="8">
        <v>12</v>
      </c>
      <c r="F60" s="8">
        <f t="shared" si="0"/>
        <v>138</v>
      </c>
      <c r="J60" s="8">
        <f t="shared" si="1"/>
        <v>0</v>
      </c>
      <c r="K60" s="8">
        <v>0</v>
      </c>
      <c r="L60" s="8">
        <v>0</v>
      </c>
      <c r="M60" s="8">
        <v>0</v>
      </c>
      <c r="N60" s="8">
        <f t="shared" si="2"/>
        <v>0</v>
      </c>
      <c r="O60" s="8">
        <v>4</v>
      </c>
      <c r="P60" s="8">
        <v>5</v>
      </c>
      <c r="Q60" s="8">
        <v>2</v>
      </c>
      <c r="R60" s="8">
        <f t="shared" si="3"/>
        <v>11</v>
      </c>
      <c r="S60" s="31">
        <v>1.5</v>
      </c>
      <c r="T60" s="30">
        <v>1.25</v>
      </c>
      <c r="U60" s="66">
        <f>IF(A60='Свод по районам'!$A$11,'Свод по районам'!$G$11,0)</f>
        <v>1.3302169816672833</v>
      </c>
      <c r="V60" s="30">
        <f t="shared" si="4"/>
        <v>407.3</v>
      </c>
      <c r="W60" s="12">
        <f t="shared" si="16"/>
        <v>374.2756756756757</v>
      </c>
      <c r="X60" s="11">
        <v>450.22513000000004</v>
      </c>
      <c r="Y60" s="17">
        <f t="shared" si="5"/>
        <v>-42.925130000000024</v>
      </c>
      <c r="Z60" s="17">
        <f t="shared" si="17"/>
        <v>0</v>
      </c>
      <c r="AA60" s="17">
        <f t="shared" si="6"/>
        <v>-42.925130000000024</v>
      </c>
      <c r="AB60" s="20">
        <f t="shared" si="7"/>
        <v>-75.949454324324336</v>
      </c>
      <c r="AC60" s="17">
        <f t="shared" si="18"/>
        <v>0</v>
      </c>
      <c r="AD60" s="17">
        <f t="shared" si="8"/>
        <v>-75.949454324324336</v>
      </c>
      <c r="AE60" s="8">
        <v>17</v>
      </c>
      <c r="AF60" s="28">
        <f t="shared" si="9"/>
        <v>23958.823529411766</v>
      </c>
      <c r="AG60" s="28">
        <f t="shared" si="19"/>
        <v>22016.216216216217</v>
      </c>
      <c r="AH60" s="28">
        <f t="shared" si="10"/>
        <v>26483.83117647059</v>
      </c>
      <c r="AI60" s="42">
        <f t="shared" si="11"/>
        <v>-2525.0076470588247</v>
      </c>
      <c r="AJ60" s="44">
        <f t="shared" si="21"/>
        <v>18.5</v>
      </c>
      <c r="AK60" s="45">
        <f t="shared" si="13"/>
        <v>22016.216216216217</v>
      </c>
      <c r="AL60" s="45">
        <f t="shared" si="14"/>
        <v>24336.493513513517</v>
      </c>
      <c r="AM60" s="45">
        <f t="shared" si="15"/>
        <v>-2320.2772972972998</v>
      </c>
      <c r="AN60" s="23">
        <f t="shared" si="20"/>
        <v>1.088235294117647</v>
      </c>
      <c r="AP60" s="20" t="e">
        <f>IF(AH60/S60&lt;#REF!,AH60,0)</f>
        <v>#REF!</v>
      </c>
      <c r="AQ60" s="11" t="e">
        <f>IF(AP60&gt;0,(#REF!*S60-AP60)*AE60/1000*1.302*4,0)</f>
        <v>#REF!</v>
      </c>
    </row>
    <row r="61" spans="1:43" x14ac:dyDescent="0.25">
      <c r="A61" s="8" t="s">
        <v>23</v>
      </c>
      <c r="B61" s="30" t="s">
        <v>310</v>
      </c>
      <c r="C61" s="8">
        <v>68</v>
      </c>
      <c r="D61" s="8">
        <v>49</v>
      </c>
      <c r="E61" s="8">
        <v>0</v>
      </c>
      <c r="F61" s="8">
        <f t="shared" si="0"/>
        <v>117</v>
      </c>
      <c r="G61" s="8">
        <v>1</v>
      </c>
      <c r="J61" s="8">
        <f t="shared" si="1"/>
        <v>1</v>
      </c>
      <c r="K61" s="8">
        <v>2</v>
      </c>
      <c r="L61" s="8">
        <v>0</v>
      </c>
      <c r="M61" s="8">
        <v>0</v>
      </c>
      <c r="N61" s="8">
        <f t="shared" si="2"/>
        <v>2</v>
      </c>
      <c r="O61" s="8">
        <v>4</v>
      </c>
      <c r="P61" s="8">
        <v>5</v>
      </c>
      <c r="R61" s="8">
        <f t="shared" si="3"/>
        <v>9</v>
      </c>
      <c r="S61" s="31">
        <v>1.5</v>
      </c>
      <c r="T61" s="30">
        <v>1.25</v>
      </c>
      <c r="U61" s="66">
        <f>IF(A61='Свод по районам'!$A$11,'Свод по районам'!$G$11,0)</f>
        <v>1.3302169816672833</v>
      </c>
      <c r="V61" s="30">
        <f t="shared" si="4"/>
        <v>319.60000000000002</v>
      </c>
      <c r="W61" s="12">
        <f t="shared" si="16"/>
        <v>256.63048327137545</v>
      </c>
      <c r="X61" s="11">
        <v>332.06895000000003</v>
      </c>
      <c r="Y61" s="17">
        <f t="shared" si="5"/>
        <v>-12.468950000000007</v>
      </c>
      <c r="Z61" s="17">
        <f t="shared" si="17"/>
        <v>0</v>
      </c>
      <c r="AA61" s="17">
        <f t="shared" si="6"/>
        <v>-12.468950000000007</v>
      </c>
      <c r="AB61" s="20">
        <f t="shared" si="7"/>
        <v>-75.438466728624576</v>
      </c>
      <c r="AC61" s="17">
        <f t="shared" si="18"/>
        <v>0</v>
      </c>
      <c r="AD61" s="17">
        <f t="shared" si="8"/>
        <v>-75.438466728624576</v>
      </c>
      <c r="AE61" s="8">
        <v>12</v>
      </c>
      <c r="AF61" s="28">
        <f t="shared" si="9"/>
        <v>26633.333333333336</v>
      </c>
      <c r="AG61" s="28">
        <f t="shared" si="19"/>
        <v>21385.873605947952</v>
      </c>
      <c r="AH61" s="28">
        <f t="shared" si="10"/>
        <v>27672.412500000002</v>
      </c>
      <c r="AI61" s="42">
        <f t="shared" si="11"/>
        <v>-1039.0791666666664</v>
      </c>
      <c r="AJ61" s="44">
        <f t="shared" si="21"/>
        <v>14.944444444444445</v>
      </c>
      <c r="AK61" s="45">
        <f t="shared" si="13"/>
        <v>21385.873605947956</v>
      </c>
      <c r="AL61" s="45">
        <f t="shared" si="14"/>
        <v>22220.22713754647</v>
      </c>
      <c r="AM61" s="45">
        <f t="shared" si="15"/>
        <v>-834.35353159851365</v>
      </c>
      <c r="AN61" s="23">
        <f t="shared" si="20"/>
        <v>1.2453703703703705</v>
      </c>
      <c r="AP61" s="20" t="e">
        <f>IF(AH61/S61&lt;#REF!,AH61,0)</f>
        <v>#REF!</v>
      </c>
      <c r="AQ61" s="11" t="e">
        <f>IF(AP61&gt;0,(#REF!*S61-AP61)*AE61/1000*1.302*4,0)</f>
        <v>#REF!</v>
      </c>
    </row>
    <row r="62" spans="1:43" x14ac:dyDescent="0.25">
      <c r="A62" s="8" t="s">
        <v>23</v>
      </c>
      <c r="B62" s="30" t="s">
        <v>304</v>
      </c>
      <c r="C62" s="8">
        <v>47</v>
      </c>
      <c r="D62" s="8">
        <v>47</v>
      </c>
      <c r="E62" s="8">
        <v>0</v>
      </c>
      <c r="F62" s="8">
        <f t="shared" si="0"/>
        <v>94</v>
      </c>
      <c r="G62" s="8">
        <v>1</v>
      </c>
      <c r="J62" s="8">
        <f t="shared" si="1"/>
        <v>1</v>
      </c>
      <c r="K62" s="8">
        <v>0</v>
      </c>
      <c r="L62" s="8">
        <v>0</v>
      </c>
      <c r="M62" s="8">
        <v>0</v>
      </c>
      <c r="N62" s="8">
        <f t="shared" si="2"/>
        <v>0</v>
      </c>
      <c r="O62" s="8">
        <v>4</v>
      </c>
      <c r="P62" s="8">
        <v>5</v>
      </c>
      <c r="R62" s="8">
        <f t="shared" si="3"/>
        <v>9</v>
      </c>
      <c r="S62" s="31">
        <v>1.5</v>
      </c>
      <c r="T62" s="30">
        <v>1.25</v>
      </c>
      <c r="U62" s="66">
        <f>IF(A62='Свод по районам'!$A$11,'Свод по районам'!$G$11,0)</f>
        <v>1.3302169816672833</v>
      </c>
      <c r="V62" s="30">
        <f t="shared" si="4"/>
        <v>266.2</v>
      </c>
      <c r="W62" s="12">
        <f t="shared" si="16"/>
        <v>127.36842105263158</v>
      </c>
      <c r="X62" s="11">
        <v>268.95384999999999</v>
      </c>
      <c r="Y62" s="17">
        <f t="shared" si="5"/>
        <v>-2.7538499999999999</v>
      </c>
      <c r="Z62" s="17">
        <f t="shared" si="17"/>
        <v>0</v>
      </c>
      <c r="AA62" s="17">
        <f t="shared" si="6"/>
        <v>-2.7538499999999999</v>
      </c>
      <c r="AB62" s="20">
        <f t="shared" si="7"/>
        <v>-141.58542894736843</v>
      </c>
      <c r="AC62" s="17">
        <f t="shared" si="18"/>
        <v>0</v>
      </c>
      <c r="AD62" s="17">
        <f t="shared" si="8"/>
        <v>-141.58542894736843</v>
      </c>
      <c r="AE62" s="8">
        <v>7</v>
      </c>
      <c r="AF62" s="28">
        <f t="shared" si="9"/>
        <v>38028.571428571428</v>
      </c>
      <c r="AG62" s="28">
        <f t="shared" si="19"/>
        <v>18195.488721804511</v>
      </c>
      <c r="AH62" s="28">
        <f t="shared" si="10"/>
        <v>38421.978571428568</v>
      </c>
      <c r="AI62" s="42">
        <f t="shared" si="11"/>
        <v>-393.40714285714057</v>
      </c>
      <c r="AJ62" s="44">
        <f t="shared" si="21"/>
        <v>14.944444444444445</v>
      </c>
      <c r="AK62" s="45">
        <f t="shared" si="13"/>
        <v>17812.63940520446</v>
      </c>
      <c r="AL62" s="45">
        <f t="shared" si="14"/>
        <v>17996.91189591078</v>
      </c>
      <c r="AM62" s="45">
        <f t="shared" si="15"/>
        <v>-184.27249070632024</v>
      </c>
      <c r="AN62" s="23">
        <v>2.09</v>
      </c>
      <c r="AP62" s="20" t="e">
        <f>IF(AH62/S62&lt;#REF!,AH62,0)</f>
        <v>#REF!</v>
      </c>
      <c r="AQ62" s="11" t="e">
        <f>IF(AP62&gt;0,(#REF!*S62-AP62)*AE62/1000*1.302*4,0)</f>
        <v>#REF!</v>
      </c>
    </row>
    <row r="63" spans="1:43" x14ac:dyDescent="0.25">
      <c r="A63" s="8" t="s">
        <v>24</v>
      </c>
      <c r="B63" s="30" t="s">
        <v>327</v>
      </c>
      <c r="C63" s="8">
        <v>477</v>
      </c>
      <c r="D63" s="8">
        <v>519</v>
      </c>
      <c r="E63" s="8">
        <v>70</v>
      </c>
      <c r="F63" s="8">
        <f t="shared" si="0"/>
        <v>1066</v>
      </c>
      <c r="G63" s="8">
        <v>2</v>
      </c>
      <c r="H63" s="8">
        <v>2</v>
      </c>
      <c r="I63" s="8">
        <v>1</v>
      </c>
      <c r="J63" s="8">
        <f t="shared" si="1"/>
        <v>5</v>
      </c>
      <c r="K63" s="8">
        <v>7</v>
      </c>
      <c r="L63" s="8">
        <v>6</v>
      </c>
      <c r="M63" s="8">
        <v>2</v>
      </c>
      <c r="N63" s="8">
        <f t="shared" si="2"/>
        <v>15</v>
      </c>
      <c r="O63" s="8">
        <v>18</v>
      </c>
      <c r="P63" s="8">
        <v>20</v>
      </c>
      <c r="Q63" s="8">
        <v>3</v>
      </c>
      <c r="R63" s="8">
        <f t="shared" si="3"/>
        <v>41</v>
      </c>
      <c r="S63" s="31">
        <v>1.5</v>
      </c>
      <c r="T63" s="30">
        <v>1</v>
      </c>
      <c r="U63" s="66">
        <f>IF(A63='Свод по районам'!$A$12,'Свод по районам'!$G$12,0)</f>
        <v>1.6163696773289624</v>
      </c>
      <c r="V63" s="30">
        <f t="shared" si="4"/>
        <v>2531.3000000000002</v>
      </c>
      <c r="W63" s="12">
        <f t="shared" si="16"/>
        <v>1775.1500640000006</v>
      </c>
      <c r="X63" s="11">
        <v>1500.22712</v>
      </c>
      <c r="Y63" s="17">
        <f t="shared" si="5"/>
        <v>1031.0728800000002</v>
      </c>
      <c r="Z63" s="17">
        <f t="shared" si="17"/>
        <v>1031.0728800000002</v>
      </c>
      <c r="AA63" s="17">
        <f t="shared" si="6"/>
        <v>0</v>
      </c>
      <c r="AB63" s="20">
        <f t="shared" si="7"/>
        <v>274.9229440000006</v>
      </c>
      <c r="AC63" s="17">
        <f t="shared" si="18"/>
        <v>274.9229440000006</v>
      </c>
      <c r="AD63" s="17">
        <f t="shared" si="8"/>
        <v>0</v>
      </c>
      <c r="AE63" s="8">
        <v>48.7</v>
      </c>
      <c r="AF63" s="28">
        <f t="shared" si="9"/>
        <v>51977.412731006159</v>
      </c>
      <c r="AG63" s="28">
        <f t="shared" si="19"/>
        <v>36450.720000000008</v>
      </c>
      <c r="AH63" s="28">
        <f t="shared" si="10"/>
        <v>30805.485010266937</v>
      </c>
      <c r="AI63" s="42">
        <f t="shared" si="11"/>
        <v>21171.927720739222</v>
      </c>
      <c r="AJ63" s="44">
        <f t="shared" si="21"/>
        <v>69.444444444444429</v>
      </c>
      <c r="AK63" s="45">
        <f t="shared" si="13"/>
        <v>36450.720000000008</v>
      </c>
      <c r="AL63" s="45">
        <f t="shared" si="14"/>
        <v>21603.270528000008</v>
      </c>
      <c r="AM63" s="45">
        <f t="shared" si="15"/>
        <v>14847.449472</v>
      </c>
      <c r="AN63" s="23">
        <f t="shared" si="20"/>
        <v>1.4259639516313023</v>
      </c>
      <c r="AP63" s="20" t="e">
        <f>IF(AH63/S63&lt;#REF!,AH63,0)</f>
        <v>#REF!</v>
      </c>
      <c r="AQ63" s="11" t="e">
        <f>IF(AP63&gt;0,(#REF!*S63-AP63)*AE63/1000*1.302*4,0)</f>
        <v>#REF!</v>
      </c>
    </row>
    <row r="64" spans="1:43" x14ac:dyDescent="0.25">
      <c r="A64" s="8" t="s">
        <v>24</v>
      </c>
      <c r="B64" s="30" t="s">
        <v>325</v>
      </c>
      <c r="C64" s="8">
        <v>400</v>
      </c>
      <c r="D64" s="8">
        <v>390</v>
      </c>
      <c r="E64" s="8">
        <v>83</v>
      </c>
      <c r="F64" s="8">
        <f t="shared" si="0"/>
        <v>873</v>
      </c>
      <c r="G64" s="8">
        <v>2</v>
      </c>
      <c r="J64" s="8">
        <f t="shared" si="1"/>
        <v>2</v>
      </c>
      <c r="K64" s="8">
        <v>1</v>
      </c>
      <c r="L64" s="8">
        <v>3</v>
      </c>
      <c r="M64" s="8">
        <v>0</v>
      </c>
      <c r="N64" s="8">
        <f t="shared" si="2"/>
        <v>4</v>
      </c>
      <c r="O64" s="8">
        <v>15</v>
      </c>
      <c r="P64" s="8">
        <v>15</v>
      </c>
      <c r="Q64" s="8">
        <v>4</v>
      </c>
      <c r="R64" s="8">
        <f t="shared" si="3"/>
        <v>34</v>
      </c>
      <c r="S64" s="31">
        <v>1.5</v>
      </c>
      <c r="T64" s="30">
        <v>1</v>
      </c>
      <c r="U64" s="66">
        <f>IF(A64='Свод по районам'!$A$12,'Свод по районам'!$G$12,0)</f>
        <v>1.6163696773289624</v>
      </c>
      <c r="V64" s="30">
        <f t="shared" si="4"/>
        <v>2076.8000000000002</v>
      </c>
      <c r="W64" s="12">
        <f t="shared" si="16"/>
        <v>1403.2211231527094</v>
      </c>
      <c r="X64" s="11">
        <v>1156.28415</v>
      </c>
      <c r="Y64" s="17">
        <f t="shared" si="5"/>
        <v>920.51585000000023</v>
      </c>
      <c r="Z64" s="17">
        <f t="shared" si="17"/>
        <v>920.51585000000023</v>
      </c>
      <c r="AA64" s="17">
        <f t="shared" si="6"/>
        <v>0</v>
      </c>
      <c r="AB64" s="20">
        <f t="shared" si="7"/>
        <v>246.93697315270947</v>
      </c>
      <c r="AC64" s="17">
        <f t="shared" si="18"/>
        <v>246.93697315270947</v>
      </c>
      <c r="AD64" s="17">
        <f t="shared" si="8"/>
        <v>0</v>
      </c>
      <c r="AE64" s="8">
        <v>38.1</v>
      </c>
      <c r="AF64" s="28">
        <f t="shared" si="9"/>
        <v>54509.186351706041</v>
      </c>
      <c r="AG64" s="28">
        <f t="shared" si="19"/>
        <v>36829.950738916261</v>
      </c>
      <c r="AH64" s="28">
        <f t="shared" si="10"/>
        <v>30348.665354330704</v>
      </c>
      <c r="AI64" s="42">
        <f t="shared" si="11"/>
        <v>24160.520997375337</v>
      </c>
      <c r="AJ64" s="44">
        <f t="shared" si="21"/>
        <v>56.388888888888886</v>
      </c>
      <c r="AK64" s="45">
        <f t="shared" si="13"/>
        <v>36829.950738916261</v>
      </c>
      <c r="AL64" s="45">
        <f t="shared" si="14"/>
        <v>20505.531724137931</v>
      </c>
      <c r="AM64" s="45">
        <f t="shared" si="15"/>
        <v>16324.41901477833</v>
      </c>
      <c r="AN64" s="23">
        <f t="shared" si="20"/>
        <v>1.4800233304170312</v>
      </c>
      <c r="AP64" s="20" t="e">
        <f>IF(AH64/S64&lt;#REF!,AH64,0)</f>
        <v>#REF!</v>
      </c>
      <c r="AQ64" s="11" t="e">
        <f>IF(AP64&gt;0,(#REF!*S64-AP64)*AE64/1000*1.302*4,0)</f>
        <v>#REF!</v>
      </c>
    </row>
    <row r="65" spans="1:43" x14ac:dyDescent="0.25">
      <c r="A65" s="8" t="s">
        <v>24</v>
      </c>
      <c r="B65" s="30" t="s">
        <v>323</v>
      </c>
      <c r="C65" s="8">
        <v>102</v>
      </c>
      <c r="D65" s="8">
        <v>87</v>
      </c>
      <c r="E65" s="8">
        <v>37</v>
      </c>
      <c r="F65" s="8">
        <f t="shared" si="0"/>
        <v>226</v>
      </c>
      <c r="J65" s="8">
        <f t="shared" si="1"/>
        <v>0</v>
      </c>
      <c r="K65" s="8">
        <v>1</v>
      </c>
      <c r="L65" s="8">
        <v>1</v>
      </c>
      <c r="M65" s="8">
        <v>0</v>
      </c>
      <c r="N65" s="8">
        <f t="shared" si="2"/>
        <v>2</v>
      </c>
      <c r="O65" s="8">
        <v>5</v>
      </c>
      <c r="P65" s="8">
        <v>5</v>
      </c>
      <c r="Q65" s="8">
        <v>2</v>
      </c>
      <c r="R65" s="8">
        <f t="shared" si="3"/>
        <v>12</v>
      </c>
      <c r="S65" s="31">
        <v>1.5</v>
      </c>
      <c r="T65" s="30">
        <v>1.25</v>
      </c>
      <c r="U65" s="66">
        <f>IF(A65='Свод по районам'!$A$12,'Свод по районам'!$G$12,0)</f>
        <v>1.6163696773289624</v>
      </c>
      <c r="V65" s="30">
        <f t="shared" si="4"/>
        <v>697.6</v>
      </c>
      <c r="W65" s="12">
        <f t="shared" si="16"/>
        <v>682.35831932773112</v>
      </c>
      <c r="X65" s="11">
        <v>581.55006000000003</v>
      </c>
      <c r="Y65" s="17">
        <f t="shared" si="5"/>
        <v>116.04993999999999</v>
      </c>
      <c r="Z65" s="17">
        <f t="shared" si="17"/>
        <v>116.04993999999999</v>
      </c>
      <c r="AA65" s="17">
        <f t="shared" si="6"/>
        <v>0</v>
      </c>
      <c r="AB65" s="20">
        <f t="shared" si="7"/>
        <v>100.80825932773109</v>
      </c>
      <c r="AC65" s="17">
        <f t="shared" si="18"/>
        <v>100.80825932773109</v>
      </c>
      <c r="AD65" s="17">
        <f t="shared" si="8"/>
        <v>0</v>
      </c>
      <c r="AE65" s="8">
        <v>19.399999999999999</v>
      </c>
      <c r="AF65" s="28">
        <f t="shared" si="9"/>
        <v>35958.762886597942</v>
      </c>
      <c r="AG65" s="28">
        <f t="shared" si="19"/>
        <v>35173.10924369748</v>
      </c>
      <c r="AH65" s="28">
        <f t="shared" si="10"/>
        <v>29976.807216494846</v>
      </c>
      <c r="AI65" s="42">
        <f t="shared" si="11"/>
        <v>5981.9556701030961</v>
      </c>
      <c r="AJ65" s="44">
        <f t="shared" si="21"/>
        <v>19.833333333333332</v>
      </c>
      <c r="AK65" s="45">
        <f t="shared" si="13"/>
        <v>35173.10924369748</v>
      </c>
      <c r="AL65" s="45">
        <f t="shared" si="14"/>
        <v>29321.851764705887</v>
      </c>
      <c r="AM65" s="45">
        <f t="shared" si="15"/>
        <v>5851.2574789915925</v>
      </c>
      <c r="AN65" s="23">
        <f t="shared" si="20"/>
        <v>1.0223367697594501</v>
      </c>
      <c r="AP65" s="20" t="e">
        <f>IF(AH65/S65&lt;#REF!,AH65,0)</f>
        <v>#REF!</v>
      </c>
      <c r="AQ65" s="11" t="e">
        <f>IF(AP65&gt;0,(#REF!*S65-AP65)*AE65/1000*1.302*4,0)</f>
        <v>#REF!</v>
      </c>
    </row>
    <row r="66" spans="1:43" x14ac:dyDescent="0.25">
      <c r="A66" s="8" t="s">
        <v>24</v>
      </c>
      <c r="B66" s="30" t="s">
        <v>326</v>
      </c>
      <c r="C66" s="8">
        <v>68</v>
      </c>
      <c r="D66" s="8">
        <v>94</v>
      </c>
      <c r="E66" s="8">
        <v>11</v>
      </c>
      <c r="F66" s="8">
        <f t="shared" si="0"/>
        <v>173</v>
      </c>
      <c r="H66" s="8">
        <v>1</v>
      </c>
      <c r="I66" s="8">
        <v>1</v>
      </c>
      <c r="J66" s="8">
        <f t="shared" si="1"/>
        <v>2</v>
      </c>
      <c r="K66" s="8">
        <v>3</v>
      </c>
      <c r="L66" s="8">
        <v>1</v>
      </c>
      <c r="M66" s="8">
        <v>0</v>
      </c>
      <c r="N66" s="8">
        <f t="shared" si="2"/>
        <v>4</v>
      </c>
      <c r="O66" s="8">
        <v>4</v>
      </c>
      <c r="P66" s="8">
        <v>5</v>
      </c>
      <c r="Q66" s="8">
        <v>2</v>
      </c>
      <c r="R66" s="8">
        <f t="shared" si="3"/>
        <v>11</v>
      </c>
      <c r="S66" s="31">
        <v>1.5</v>
      </c>
      <c r="T66" s="30">
        <v>1</v>
      </c>
      <c r="U66" s="66">
        <f>IF(A66='Свод по районам'!$A$12,'Свод по районам'!$G$12,0)</f>
        <v>1.6163696773289624</v>
      </c>
      <c r="V66" s="30">
        <f t="shared" si="4"/>
        <v>431.3</v>
      </c>
      <c r="W66" s="12">
        <f t="shared" si="16"/>
        <v>322.74808988764045</v>
      </c>
      <c r="X66" s="11">
        <v>382.35415999999998</v>
      </c>
      <c r="Y66" s="17">
        <f t="shared" si="5"/>
        <v>48.945840000000032</v>
      </c>
      <c r="Z66" s="17">
        <f t="shared" si="17"/>
        <v>48.945840000000032</v>
      </c>
      <c r="AA66" s="17">
        <f t="shared" si="6"/>
        <v>0</v>
      </c>
      <c r="AB66" s="20">
        <f t="shared" si="7"/>
        <v>-59.606070112359532</v>
      </c>
      <c r="AC66" s="17">
        <f t="shared" si="18"/>
        <v>0</v>
      </c>
      <c r="AD66" s="17">
        <f t="shared" si="8"/>
        <v>-59.606070112359532</v>
      </c>
      <c r="AE66" s="8">
        <v>14.8</v>
      </c>
      <c r="AF66" s="28">
        <f t="shared" si="9"/>
        <v>29141.89189189189</v>
      </c>
      <c r="AG66" s="28">
        <f t="shared" si="19"/>
        <v>21807.303370786518</v>
      </c>
      <c r="AH66" s="28">
        <f t="shared" si="10"/>
        <v>25834.740540540537</v>
      </c>
      <c r="AI66" s="42">
        <f t="shared" si="11"/>
        <v>3307.1513513513528</v>
      </c>
      <c r="AJ66" s="44">
        <f t="shared" si="21"/>
        <v>19.777777777777779</v>
      </c>
      <c r="AK66" s="45">
        <f t="shared" si="13"/>
        <v>21807.303370786518</v>
      </c>
      <c r="AL66" s="45">
        <f t="shared" si="14"/>
        <v>19332.513707865168</v>
      </c>
      <c r="AM66" s="45">
        <f t="shared" si="15"/>
        <v>2474.7896629213501</v>
      </c>
      <c r="AN66" s="23">
        <f t="shared" si="20"/>
        <v>1.3363363363363363</v>
      </c>
      <c r="AP66" s="20" t="e">
        <f>IF(AH66/S66&lt;#REF!,AH66,0)</f>
        <v>#REF!</v>
      </c>
      <c r="AQ66" s="11" t="e">
        <f>IF(AP66&gt;0,(#REF!*S66-AP66)*AE66/1000*1.302*4,0)</f>
        <v>#REF!</v>
      </c>
    </row>
    <row r="67" spans="1:43" x14ac:dyDescent="0.25">
      <c r="A67" s="8" t="s">
        <v>24</v>
      </c>
      <c r="B67" s="30" t="s">
        <v>322</v>
      </c>
      <c r="C67" s="8">
        <v>60</v>
      </c>
      <c r="D67" s="8">
        <v>74</v>
      </c>
      <c r="E67" s="8">
        <v>18</v>
      </c>
      <c r="F67" s="8">
        <f t="shared" si="0"/>
        <v>152</v>
      </c>
      <c r="G67" s="8">
        <v>1</v>
      </c>
      <c r="J67" s="8">
        <f t="shared" si="1"/>
        <v>1</v>
      </c>
      <c r="K67" s="8">
        <v>0</v>
      </c>
      <c r="L67" s="8">
        <v>1</v>
      </c>
      <c r="M67" s="8">
        <v>0</v>
      </c>
      <c r="N67" s="8">
        <f t="shared" si="2"/>
        <v>1</v>
      </c>
      <c r="O67" s="8">
        <v>4</v>
      </c>
      <c r="P67" s="8">
        <v>5</v>
      </c>
      <c r="Q67" s="8">
        <v>2</v>
      </c>
      <c r="R67" s="8">
        <f t="shared" si="3"/>
        <v>11</v>
      </c>
      <c r="S67" s="31">
        <v>1.5</v>
      </c>
      <c r="T67" s="30">
        <v>1.25</v>
      </c>
      <c r="U67" s="66">
        <f>IF(A67='Свод по районам'!$A$12,'Свод по районам'!$G$12,0)</f>
        <v>1.6163696773289624</v>
      </c>
      <c r="V67" s="30">
        <f t="shared" si="4"/>
        <v>475.3</v>
      </c>
      <c r="W67" s="12">
        <f t="shared" si="16"/>
        <v>313.61436950146634</v>
      </c>
      <c r="X67" s="11">
        <v>432.08292000000006</v>
      </c>
      <c r="Y67" s="17">
        <f t="shared" si="5"/>
        <v>43.217079999999953</v>
      </c>
      <c r="Z67" s="17">
        <f t="shared" si="17"/>
        <v>43.217079999999953</v>
      </c>
      <c r="AA67" s="17">
        <f t="shared" si="6"/>
        <v>0</v>
      </c>
      <c r="AB67" s="20">
        <f t="shared" si="7"/>
        <v>-118.46855049853372</v>
      </c>
      <c r="AC67" s="17">
        <f t="shared" si="18"/>
        <v>0</v>
      </c>
      <c r="AD67" s="17">
        <f t="shared" si="8"/>
        <v>-118.46855049853372</v>
      </c>
      <c r="AE67" s="8">
        <v>12.5</v>
      </c>
      <c r="AF67" s="28">
        <f t="shared" si="9"/>
        <v>38024</v>
      </c>
      <c r="AG67" s="28">
        <f t="shared" si="19"/>
        <v>25089.149560117305</v>
      </c>
      <c r="AH67" s="28">
        <f t="shared" si="10"/>
        <v>34566.633600000001</v>
      </c>
      <c r="AI67" s="42">
        <f t="shared" si="11"/>
        <v>3457.366399999999</v>
      </c>
      <c r="AJ67" s="44">
        <f t="shared" si="21"/>
        <v>18.944444444444443</v>
      </c>
      <c r="AK67" s="45">
        <f t="shared" si="13"/>
        <v>25089.149560117305</v>
      </c>
      <c r="AL67" s="45">
        <f t="shared" si="14"/>
        <v>22807.896070381237</v>
      </c>
      <c r="AM67" s="45">
        <f t="shared" si="15"/>
        <v>2281.2534897360674</v>
      </c>
      <c r="AN67" s="23">
        <f t="shared" si="20"/>
        <v>1.5155555555555553</v>
      </c>
      <c r="AP67" s="20" t="e">
        <f>IF(AH67/S67&lt;#REF!,AH67,0)</f>
        <v>#REF!</v>
      </c>
      <c r="AQ67" s="11" t="e">
        <f>IF(AP67&gt;0,(#REF!*S67-AP67)*AE67/1000*1.302*4,0)</f>
        <v>#REF!</v>
      </c>
    </row>
    <row r="68" spans="1:43" x14ac:dyDescent="0.25">
      <c r="A68" s="8" t="s">
        <v>24</v>
      </c>
      <c r="B68" s="30" t="s">
        <v>324</v>
      </c>
      <c r="C68" s="8">
        <v>60</v>
      </c>
      <c r="D68" s="8">
        <v>60</v>
      </c>
      <c r="E68" s="8">
        <v>24</v>
      </c>
      <c r="F68" s="8">
        <f t="shared" si="0"/>
        <v>144</v>
      </c>
      <c r="J68" s="8">
        <f t="shared" si="1"/>
        <v>0</v>
      </c>
      <c r="K68" s="8">
        <v>0</v>
      </c>
      <c r="L68" s="8">
        <v>0</v>
      </c>
      <c r="M68" s="8">
        <v>1</v>
      </c>
      <c r="N68" s="8">
        <f t="shared" si="2"/>
        <v>1</v>
      </c>
      <c r="O68" s="8">
        <v>4</v>
      </c>
      <c r="P68" s="8">
        <v>5</v>
      </c>
      <c r="Q68" s="8">
        <v>2</v>
      </c>
      <c r="R68" s="8">
        <f t="shared" si="3"/>
        <v>11</v>
      </c>
      <c r="S68" s="31">
        <v>1.5</v>
      </c>
      <c r="T68" s="30">
        <v>1.25</v>
      </c>
      <c r="U68" s="66">
        <f>IF(A68='Свод по районам'!$A$12,'Свод по районам'!$G$12,0)</f>
        <v>1.6163696773289624</v>
      </c>
      <c r="V68" s="30">
        <f t="shared" si="4"/>
        <v>451</v>
      </c>
      <c r="W68" s="12">
        <f t="shared" si="16"/>
        <v>329.10810810810807</v>
      </c>
      <c r="X68" s="11">
        <v>373.52063999999996</v>
      </c>
      <c r="Y68" s="17">
        <f t="shared" si="5"/>
        <v>77.479360000000042</v>
      </c>
      <c r="Z68" s="17">
        <f t="shared" si="17"/>
        <v>77.479360000000042</v>
      </c>
      <c r="AA68" s="17">
        <f t="shared" si="6"/>
        <v>0</v>
      </c>
      <c r="AB68" s="20">
        <f t="shared" si="7"/>
        <v>-44.412531891891888</v>
      </c>
      <c r="AC68" s="17">
        <f t="shared" si="18"/>
        <v>0</v>
      </c>
      <c r="AD68" s="17">
        <f t="shared" si="8"/>
        <v>-44.412531891891888</v>
      </c>
      <c r="AE68" s="8">
        <v>13.5</v>
      </c>
      <c r="AF68" s="28">
        <f t="shared" si="9"/>
        <v>33407.407407407401</v>
      </c>
      <c r="AG68" s="28">
        <f t="shared" si="19"/>
        <v>24378.378378378377</v>
      </c>
      <c r="AH68" s="28">
        <f t="shared" si="10"/>
        <v>27668.195555555554</v>
      </c>
      <c r="AI68" s="42">
        <f t="shared" si="11"/>
        <v>5739.2118518518473</v>
      </c>
      <c r="AJ68" s="44">
        <f t="shared" si="21"/>
        <v>18.5</v>
      </c>
      <c r="AK68" s="45">
        <f t="shared" si="13"/>
        <v>24378.37837837838</v>
      </c>
      <c r="AL68" s="45">
        <f t="shared" si="14"/>
        <v>20190.304864864862</v>
      </c>
      <c r="AM68" s="45">
        <f t="shared" si="15"/>
        <v>4188.0735135135183</v>
      </c>
      <c r="AN68" s="23">
        <f t="shared" si="20"/>
        <v>1.3703703703703705</v>
      </c>
      <c r="AP68" s="20" t="e">
        <f>IF(AH68/S68&lt;#REF!,AH68,0)</f>
        <v>#REF!</v>
      </c>
      <c r="AQ68" s="11" t="e">
        <f>IF(AP68&gt;0,(#REF!*S68-AP68)*AE68/1000*1.302*4,0)</f>
        <v>#REF!</v>
      </c>
    </row>
    <row r="69" spans="1:43" x14ac:dyDescent="0.25">
      <c r="A69" s="8" t="s">
        <v>25</v>
      </c>
      <c r="B69" s="30" t="s">
        <v>330</v>
      </c>
      <c r="C69" s="8">
        <v>858</v>
      </c>
      <c r="D69" s="8">
        <v>764</v>
      </c>
      <c r="E69" s="8">
        <v>106</v>
      </c>
      <c r="F69" s="8">
        <f t="shared" si="0"/>
        <v>1728</v>
      </c>
      <c r="G69" s="8">
        <v>5</v>
      </c>
      <c r="H69" s="8">
        <v>2</v>
      </c>
      <c r="J69" s="8">
        <f t="shared" si="1"/>
        <v>7</v>
      </c>
      <c r="K69" s="8">
        <v>9</v>
      </c>
      <c r="L69" s="8">
        <v>12</v>
      </c>
      <c r="M69" s="8">
        <v>0</v>
      </c>
      <c r="N69" s="8">
        <f t="shared" si="2"/>
        <v>21</v>
      </c>
      <c r="O69" s="8">
        <v>29</v>
      </c>
      <c r="P69" s="8">
        <v>26</v>
      </c>
      <c r="Q69" s="8">
        <v>4</v>
      </c>
      <c r="R69" s="8">
        <f t="shared" si="3"/>
        <v>59</v>
      </c>
      <c r="S69" s="31">
        <v>1.5</v>
      </c>
      <c r="T69" s="30">
        <v>1.25</v>
      </c>
      <c r="U69" s="66">
        <f>IF(A69='Свод по районам'!$A$13,'Свод по районам'!$G$13,0)</f>
        <v>1.7836587027864101</v>
      </c>
      <c r="V69" s="30">
        <f t="shared" si="4"/>
        <v>5002.5</v>
      </c>
      <c r="W69" s="12">
        <f t="shared" si="16"/>
        <v>3939.46875</v>
      </c>
      <c r="X69" s="11">
        <v>2964.3263400000005</v>
      </c>
      <c r="Y69" s="17">
        <f t="shared" si="5"/>
        <v>2038.1736599999995</v>
      </c>
      <c r="Z69" s="17">
        <f t="shared" si="17"/>
        <v>2038.1736599999995</v>
      </c>
      <c r="AA69" s="17">
        <f t="shared" si="6"/>
        <v>0</v>
      </c>
      <c r="AB69" s="20">
        <f t="shared" si="7"/>
        <v>975.14240999999947</v>
      </c>
      <c r="AC69" s="17">
        <f t="shared" si="18"/>
        <v>975.14240999999947</v>
      </c>
      <c r="AD69" s="17">
        <f t="shared" si="8"/>
        <v>0</v>
      </c>
      <c r="AE69" s="8">
        <v>77</v>
      </c>
      <c r="AF69" s="28">
        <f t="shared" si="9"/>
        <v>64967.532467532466</v>
      </c>
      <c r="AG69" s="28">
        <f t="shared" si="19"/>
        <v>51161.931818181823</v>
      </c>
      <c r="AH69" s="28">
        <f t="shared" si="10"/>
        <v>38497.744675324684</v>
      </c>
      <c r="AI69" s="42">
        <f t="shared" si="11"/>
        <v>26469.787792207782</v>
      </c>
      <c r="AJ69" s="44">
        <f t="shared" si="21"/>
        <v>97.777777777777771</v>
      </c>
      <c r="AK69" s="45">
        <f t="shared" si="13"/>
        <v>51161.931818181823</v>
      </c>
      <c r="AL69" s="45">
        <f t="shared" si="14"/>
        <v>30316.973931818189</v>
      </c>
      <c r="AM69" s="45">
        <f t="shared" si="15"/>
        <v>20844.957886363634</v>
      </c>
      <c r="AN69" s="23">
        <f t="shared" si="20"/>
        <v>1.2698412698412698</v>
      </c>
      <c r="AP69" s="20" t="e">
        <f>IF(AH69/S69&lt;#REF!,AH69,0)</f>
        <v>#REF!</v>
      </c>
      <c r="AQ69" s="11" t="e">
        <f>IF(AP69&gt;0,(#REF!*S69-AP69)*AE69/1000*1.302*4,0)</f>
        <v>#REF!</v>
      </c>
    </row>
    <row r="70" spans="1:43" x14ac:dyDescent="0.25">
      <c r="A70" s="8" t="s">
        <v>25</v>
      </c>
      <c r="B70" s="30" t="s">
        <v>329</v>
      </c>
      <c r="C70" s="8">
        <v>740</v>
      </c>
      <c r="D70" s="8">
        <v>717</v>
      </c>
      <c r="E70" s="8">
        <v>136</v>
      </c>
      <c r="F70" s="8">
        <f t="shared" si="0"/>
        <v>1593</v>
      </c>
      <c r="G70" s="8">
        <v>19</v>
      </c>
      <c r="H70" s="8">
        <v>10</v>
      </c>
      <c r="I70" s="8">
        <v>2</v>
      </c>
      <c r="J70" s="8">
        <f t="shared" si="1"/>
        <v>31</v>
      </c>
      <c r="K70" s="8">
        <v>13</v>
      </c>
      <c r="L70" s="8">
        <v>14</v>
      </c>
      <c r="M70" s="8">
        <v>1</v>
      </c>
      <c r="N70" s="8">
        <f t="shared" si="2"/>
        <v>28</v>
      </c>
      <c r="O70" s="8">
        <v>24</v>
      </c>
      <c r="P70" s="8">
        <v>26</v>
      </c>
      <c r="Q70" s="8">
        <v>5</v>
      </c>
      <c r="R70" s="8">
        <f t="shared" si="3"/>
        <v>55</v>
      </c>
      <c r="S70" s="31">
        <v>1.5</v>
      </c>
      <c r="T70" s="30">
        <v>1.25</v>
      </c>
      <c r="U70" s="66">
        <f>IF(A70='Свод по районам'!$A$13,'Свод по районам'!$G$13,0)</f>
        <v>1.7836587027864101</v>
      </c>
      <c r="V70" s="30">
        <f t="shared" si="4"/>
        <v>5005.8</v>
      </c>
      <c r="W70" s="12">
        <f t="shared" si="16"/>
        <v>2940.2488421052635</v>
      </c>
      <c r="X70" s="11">
        <v>3041.9334900000003</v>
      </c>
      <c r="Y70" s="17">
        <f t="shared" si="5"/>
        <v>1963.8665099999998</v>
      </c>
      <c r="Z70" s="17">
        <f t="shared" si="17"/>
        <v>1963.8665099999998</v>
      </c>
      <c r="AA70" s="17">
        <f t="shared" si="6"/>
        <v>0</v>
      </c>
      <c r="AB70" s="20">
        <f t="shared" si="7"/>
        <v>-101.68464789473683</v>
      </c>
      <c r="AC70" s="17">
        <f t="shared" si="18"/>
        <v>0</v>
      </c>
      <c r="AD70" s="17">
        <f t="shared" si="8"/>
        <v>-101.68464789473683</v>
      </c>
      <c r="AE70" s="8">
        <v>62</v>
      </c>
      <c r="AF70" s="28">
        <f t="shared" si="9"/>
        <v>80738.709677419349</v>
      </c>
      <c r="AG70" s="28">
        <f t="shared" si="19"/>
        <v>47423.368421052633</v>
      </c>
      <c r="AH70" s="28">
        <f t="shared" si="10"/>
        <v>49063.443387096784</v>
      </c>
      <c r="AI70" s="42">
        <f t="shared" si="11"/>
        <v>31675.266290322565</v>
      </c>
      <c r="AJ70" s="44">
        <f t="shared" si="21"/>
        <v>105.55555555555554</v>
      </c>
      <c r="AK70" s="45">
        <f t="shared" si="13"/>
        <v>47423.368421052633</v>
      </c>
      <c r="AL70" s="45">
        <f t="shared" si="14"/>
        <v>28818.317273684217</v>
      </c>
      <c r="AM70" s="45">
        <f t="shared" si="15"/>
        <v>18605.051147368416</v>
      </c>
      <c r="AN70" s="23">
        <f t="shared" si="20"/>
        <v>1.7025089605734764</v>
      </c>
      <c r="AP70" s="20" t="e">
        <f>IF(AH70/S70&lt;#REF!,AH70,0)</f>
        <v>#REF!</v>
      </c>
      <c r="AQ70" s="11" t="e">
        <f>IF(AP70&gt;0,(#REF!*S70-AP70)*AE70/1000*1.302*4,0)</f>
        <v>#REF!</v>
      </c>
    </row>
    <row r="71" spans="1:43" x14ac:dyDescent="0.25">
      <c r="A71" s="8" t="s">
        <v>25</v>
      </c>
      <c r="B71" s="30" t="s">
        <v>334</v>
      </c>
      <c r="C71" s="8">
        <v>528</v>
      </c>
      <c r="D71" s="8">
        <v>451</v>
      </c>
      <c r="E71" s="8">
        <v>47</v>
      </c>
      <c r="F71" s="8">
        <f t="shared" si="0"/>
        <v>1026</v>
      </c>
      <c r="G71" s="8">
        <v>11</v>
      </c>
      <c r="H71" s="8">
        <v>1</v>
      </c>
      <c r="J71" s="8">
        <f t="shared" si="1"/>
        <v>12</v>
      </c>
      <c r="K71" s="8">
        <v>3</v>
      </c>
      <c r="L71" s="8">
        <v>4</v>
      </c>
      <c r="M71" s="8">
        <v>0</v>
      </c>
      <c r="N71" s="8">
        <f t="shared" si="2"/>
        <v>7</v>
      </c>
      <c r="O71" s="8">
        <v>20</v>
      </c>
      <c r="P71" s="8">
        <v>18</v>
      </c>
      <c r="Q71" s="8">
        <v>2</v>
      </c>
      <c r="R71" s="8">
        <f t="shared" si="3"/>
        <v>40</v>
      </c>
      <c r="S71" s="31">
        <v>1.5</v>
      </c>
      <c r="T71" s="30">
        <v>1.25</v>
      </c>
      <c r="U71" s="66">
        <f>IF(A71='Свод по районам'!$A$13,'Свод по районам'!$G$13,0)</f>
        <v>1.7836587027864101</v>
      </c>
      <c r="V71" s="30">
        <f t="shared" si="4"/>
        <v>2992.2</v>
      </c>
      <c r="W71" s="12">
        <f t="shared" si="16"/>
        <v>1959.7107469879518</v>
      </c>
      <c r="X71" s="11">
        <v>2343.22543</v>
      </c>
      <c r="Y71" s="17">
        <f t="shared" si="5"/>
        <v>648.97456999999986</v>
      </c>
      <c r="Z71" s="17">
        <f t="shared" si="17"/>
        <v>648.97456999999986</v>
      </c>
      <c r="AA71" s="17">
        <f t="shared" si="6"/>
        <v>0</v>
      </c>
      <c r="AB71" s="20">
        <f t="shared" si="7"/>
        <v>-383.51468301204818</v>
      </c>
      <c r="AC71" s="17">
        <f t="shared" si="18"/>
        <v>0</v>
      </c>
      <c r="AD71" s="17">
        <f t="shared" si="8"/>
        <v>-383.51468301204818</v>
      </c>
      <c r="AE71" s="8">
        <v>45.3</v>
      </c>
      <c r="AF71" s="28">
        <f t="shared" si="9"/>
        <v>66052.980132450335</v>
      </c>
      <c r="AG71" s="28">
        <f t="shared" si="19"/>
        <v>43260.722891566271</v>
      </c>
      <c r="AH71" s="28">
        <f t="shared" si="10"/>
        <v>51726.830684326713</v>
      </c>
      <c r="AI71" s="42">
        <f t="shared" si="11"/>
        <v>14326.149448123622</v>
      </c>
      <c r="AJ71" s="44">
        <f t="shared" si="21"/>
        <v>69.166666666666657</v>
      </c>
      <c r="AK71" s="45">
        <f t="shared" si="13"/>
        <v>43260.722891566271</v>
      </c>
      <c r="AL71" s="45">
        <f t="shared" si="14"/>
        <v>33877.958024096384</v>
      </c>
      <c r="AM71" s="45">
        <f t="shared" si="15"/>
        <v>9382.7648674698867</v>
      </c>
      <c r="AN71" s="23">
        <f t="shared" si="20"/>
        <v>1.5268579838116261</v>
      </c>
      <c r="AP71" s="20" t="e">
        <f>IF(AH71/S71&lt;#REF!,AH71,0)</f>
        <v>#REF!</v>
      </c>
      <c r="AQ71" s="11" t="e">
        <f>IF(AP71&gt;0,(#REF!*S71-AP71)*AE71/1000*1.302*4,0)</f>
        <v>#REF!</v>
      </c>
    </row>
    <row r="72" spans="1:43" x14ac:dyDescent="0.25">
      <c r="A72" s="8" t="s">
        <v>25</v>
      </c>
      <c r="B72" s="30" t="s">
        <v>333</v>
      </c>
      <c r="C72" s="8">
        <v>396</v>
      </c>
      <c r="D72" s="8">
        <v>295</v>
      </c>
      <c r="E72" s="8">
        <v>35</v>
      </c>
      <c r="F72" s="8">
        <f t="shared" si="0"/>
        <v>726</v>
      </c>
      <c r="G72" s="8">
        <v>7</v>
      </c>
      <c r="J72" s="8">
        <f t="shared" si="1"/>
        <v>7</v>
      </c>
      <c r="K72" s="8">
        <v>4</v>
      </c>
      <c r="L72" s="8">
        <v>3</v>
      </c>
      <c r="M72" s="8">
        <v>0</v>
      </c>
      <c r="N72" s="8">
        <f t="shared" si="2"/>
        <v>7</v>
      </c>
      <c r="O72" s="8">
        <v>17</v>
      </c>
      <c r="P72" s="8">
        <v>13</v>
      </c>
      <c r="Q72" s="8">
        <v>2</v>
      </c>
      <c r="R72" s="8">
        <f t="shared" si="3"/>
        <v>32</v>
      </c>
      <c r="S72" s="31">
        <v>1.5</v>
      </c>
      <c r="T72" s="30">
        <v>1.25</v>
      </c>
      <c r="U72" s="66">
        <f>IF(A72='Свод по районам'!$A$13,'Свод по районам'!$G$13,0)</f>
        <v>1.7836587027864101</v>
      </c>
      <c r="V72" s="30">
        <f t="shared" si="4"/>
        <v>2080.9</v>
      </c>
      <c r="W72" s="12">
        <f t="shared" si="16"/>
        <v>1397.3297409326424</v>
      </c>
      <c r="X72" s="11">
        <v>1392.58149</v>
      </c>
      <c r="Y72" s="17">
        <f t="shared" si="5"/>
        <v>688.31851000000006</v>
      </c>
      <c r="Z72" s="17">
        <f t="shared" si="17"/>
        <v>688.31851000000006</v>
      </c>
      <c r="AA72" s="17">
        <f t="shared" si="6"/>
        <v>0</v>
      </c>
      <c r="AB72" s="20">
        <f t="shared" si="7"/>
        <v>4.7482509326423497</v>
      </c>
      <c r="AC72" s="17">
        <f t="shared" si="18"/>
        <v>4.7482509326423497</v>
      </c>
      <c r="AD72" s="17">
        <f t="shared" si="8"/>
        <v>0</v>
      </c>
      <c r="AE72" s="8">
        <v>36</v>
      </c>
      <c r="AF72" s="28">
        <f t="shared" si="9"/>
        <v>57802.777777777774</v>
      </c>
      <c r="AG72" s="28">
        <f t="shared" si="19"/>
        <v>38814.715025906735</v>
      </c>
      <c r="AH72" s="28">
        <f t="shared" si="10"/>
        <v>38682.819166666668</v>
      </c>
      <c r="AI72" s="42">
        <f t="shared" si="11"/>
        <v>19119.958611111106</v>
      </c>
      <c r="AJ72" s="44">
        <f t="shared" si="21"/>
        <v>53.611111111111114</v>
      </c>
      <c r="AK72" s="45">
        <f t="shared" si="13"/>
        <v>38814.715025906735</v>
      </c>
      <c r="AL72" s="45">
        <f t="shared" si="14"/>
        <v>25975.61328497409</v>
      </c>
      <c r="AM72" s="45">
        <f t="shared" si="15"/>
        <v>12839.101740932645</v>
      </c>
      <c r="AN72" s="23">
        <f t="shared" si="20"/>
        <v>1.4891975308641976</v>
      </c>
      <c r="AP72" s="20" t="e">
        <f>IF(AH72/S72&lt;#REF!,AH72,0)</f>
        <v>#REF!</v>
      </c>
      <c r="AQ72" s="11" t="e">
        <f>IF(AP72&gt;0,(#REF!*S72-AP72)*AE72/1000*1.302*4,0)</f>
        <v>#REF!</v>
      </c>
    </row>
    <row r="73" spans="1:43" x14ac:dyDescent="0.25">
      <c r="A73" s="8" t="s">
        <v>25</v>
      </c>
      <c r="B73" s="30" t="s">
        <v>335</v>
      </c>
      <c r="C73" s="8">
        <v>291</v>
      </c>
      <c r="D73" s="8">
        <v>283</v>
      </c>
      <c r="E73" s="8">
        <v>36</v>
      </c>
      <c r="F73" s="8">
        <f t="shared" si="0"/>
        <v>610</v>
      </c>
      <c r="G73" s="8">
        <v>4</v>
      </c>
      <c r="J73" s="8">
        <f t="shared" si="1"/>
        <v>4</v>
      </c>
      <c r="K73" s="8">
        <v>4</v>
      </c>
      <c r="L73" s="8">
        <v>3</v>
      </c>
      <c r="M73" s="8">
        <v>0</v>
      </c>
      <c r="N73" s="8">
        <f t="shared" si="2"/>
        <v>7</v>
      </c>
      <c r="O73" s="8">
        <v>10</v>
      </c>
      <c r="P73" s="8">
        <v>12</v>
      </c>
      <c r="Q73" s="8">
        <v>2</v>
      </c>
      <c r="R73" s="8">
        <f t="shared" si="3"/>
        <v>24</v>
      </c>
      <c r="S73" s="31">
        <v>1.5</v>
      </c>
      <c r="T73" s="30">
        <v>1.25</v>
      </c>
      <c r="U73" s="66">
        <f>IF(A73='Свод по районам'!$A$13,'Свод по районам'!$G$13,0)</f>
        <v>1.7836587027864101</v>
      </c>
      <c r="V73" s="30">
        <f t="shared" si="4"/>
        <v>1788.1</v>
      </c>
      <c r="W73" s="12">
        <f t="shared" si="16"/>
        <v>1404.8666756756757</v>
      </c>
      <c r="X73" s="11">
        <v>945.79626000000019</v>
      </c>
      <c r="Y73" s="17">
        <f t="shared" si="5"/>
        <v>842.30373999999972</v>
      </c>
      <c r="Z73" s="17">
        <f t="shared" si="17"/>
        <v>842.30373999999972</v>
      </c>
      <c r="AA73" s="17">
        <f t="shared" si="6"/>
        <v>0</v>
      </c>
      <c r="AB73" s="20">
        <f t="shared" si="7"/>
        <v>459.07041567567546</v>
      </c>
      <c r="AC73" s="17">
        <f t="shared" si="18"/>
        <v>459.07041567567546</v>
      </c>
      <c r="AD73" s="17">
        <f t="shared" si="8"/>
        <v>0</v>
      </c>
      <c r="AE73" s="8">
        <v>32.299999999999997</v>
      </c>
      <c r="AF73" s="28">
        <f t="shared" si="9"/>
        <v>55359.133126934983</v>
      </c>
      <c r="AG73" s="28">
        <f t="shared" si="19"/>
        <v>43494.324324324327</v>
      </c>
      <c r="AH73" s="28">
        <f t="shared" si="10"/>
        <v>29281.617956656355</v>
      </c>
      <c r="AI73" s="42">
        <f t="shared" si="11"/>
        <v>26077.515170278628</v>
      </c>
      <c r="AJ73" s="44">
        <f t="shared" si="21"/>
        <v>41.111111111111107</v>
      </c>
      <c r="AK73" s="45">
        <f t="shared" si="13"/>
        <v>43494.324324324327</v>
      </c>
      <c r="AL73" s="45">
        <f t="shared" si="14"/>
        <v>23005.854972972978</v>
      </c>
      <c r="AM73" s="45">
        <f t="shared" si="15"/>
        <v>20488.469351351348</v>
      </c>
      <c r="AN73" s="23">
        <f t="shared" si="20"/>
        <v>1.2727898176814585</v>
      </c>
      <c r="AP73" s="20" t="e">
        <f>IF(AH73/S73&lt;#REF!,AH73,0)</f>
        <v>#REF!</v>
      </c>
      <c r="AQ73" s="11" t="e">
        <f>IF(AP73&gt;0,(#REF!*S73-AP73)*AE73/1000*1.302*4,0)</f>
        <v>#REF!</v>
      </c>
    </row>
    <row r="74" spans="1:43" x14ac:dyDescent="0.25">
      <c r="A74" s="8" t="s">
        <v>25</v>
      </c>
      <c r="B74" s="30" t="s">
        <v>331</v>
      </c>
      <c r="C74" s="8">
        <v>167</v>
      </c>
      <c r="D74" s="8">
        <v>148</v>
      </c>
      <c r="E74" s="8">
        <v>34</v>
      </c>
      <c r="F74" s="8">
        <f t="shared" si="0"/>
        <v>349</v>
      </c>
      <c r="H74" s="8">
        <v>1</v>
      </c>
      <c r="J74" s="8">
        <f t="shared" si="1"/>
        <v>1</v>
      </c>
      <c r="K74" s="8">
        <v>2</v>
      </c>
      <c r="L74" s="8">
        <v>2</v>
      </c>
      <c r="M74" s="8">
        <v>0</v>
      </c>
      <c r="N74" s="8">
        <f t="shared" si="2"/>
        <v>4</v>
      </c>
      <c r="O74" s="8">
        <v>8</v>
      </c>
      <c r="P74" s="8">
        <v>9</v>
      </c>
      <c r="Q74" s="8">
        <v>2</v>
      </c>
      <c r="R74" s="8">
        <f t="shared" si="3"/>
        <v>19</v>
      </c>
      <c r="S74" s="31">
        <v>1.5</v>
      </c>
      <c r="T74" s="30">
        <v>1.25</v>
      </c>
      <c r="U74" s="66">
        <f>IF(A74='Свод по районам'!$A$13,'Свод по районам'!$G$13,0)</f>
        <v>1.7836587027864101</v>
      </c>
      <c r="V74" s="30">
        <f t="shared" si="4"/>
        <v>1037.8</v>
      </c>
      <c r="W74" s="12">
        <f t="shared" si="16"/>
        <v>806.65363636363634</v>
      </c>
      <c r="X74" s="11">
        <v>933.51557999999977</v>
      </c>
      <c r="Y74" s="17">
        <f t="shared" si="5"/>
        <v>104.28442000000018</v>
      </c>
      <c r="Z74" s="17">
        <f t="shared" si="17"/>
        <v>104.28442000000018</v>
      </c>
      <c r="AA74" s="17">
        <f t="shared" si="6"/>
        <v>0</v>
      </c>
      <c r="AB74" s="20">
        <f t="shared" si="7"/>
        <v>-126.86194363636343</v>
      </c>
      <c r="AC74" s="17">
        <f t="shared" si="18"/>
        <v>0</v>
      </c>
      <c r="AD74" s="17">
        <f t="shared" si="8"/>
        <v>-126.86194363636343</v>
      </c>
      <c r="AE74" s="8">
        <v>24.7</v>
      </c>
      <c r="AF74" s="28">
        <f t="shared" si="9"/>
        <v>42016.194331983803</v>
      </c>
      <c r="AG74" s="28">
        <f t="shared" si="19"/>
        <v>32658.041958041955</v>
      </c>
      <c r="AH74" s="28">
        <f t="shared" si="10"/>
        <v>37794.153036437237</v>
      </c>
      <c r="AI74" s="42">
        <f t="shared" si="11"/>
        <v>4222.0412955465654</v>
      </c>
      <c r="AJ74" s="44">
        <f t="shared" si="21"/>
        <v>31.777777777777775</v>
      </c>
      <c r="AK74" s="45">
        <f t="shared" si="13"/>
        <v>32658.041958041962</v>
      </c>
      <c r="AL74" s="45">
        <f t="shared" si="14"/>
        <v>29376.364405594402</v>
      </c>
      <c r="AM74" s="45">
        <f t="shared" si="15"/>
        <v>3281.6775524475597</v>
      </c>
      <c r="AN74" s="23">
        <f t="shared" si="20"/>
        <v>1.2865497076023391</v>
      </c>
      <c r="AP74" s="20" t="e">
        <f>IF(AH74/S74&lt;#REF!,AH74,0)</f>
        <v>#REF!</v>
      </c>
      <c r="AQ74" s="11" t="e">
        <f>IF(AP74&gt;0,(#REF!*S74-AP74)*AE74/1000*1.302*4,0)</f>
        <v>#REF!</v>
      </c>
    </row>
    <row r="75" spans="1:43" x14ac:dyDescent="0.25">
      <c r="A75" s="8" t="s">
        <v>25</v>
      </c>
      <c r="B75" s="30" t="s">
        <v>332</v>
      </c>
      <c r="C75" s="8">
        <v>84</v>
      </c>
      <c r="D75" s="8">
        <v>103</v>
      </c>
      <c r="E75" s="8">
        <v>36</v>
      </c>
      <c r="F75" s="8">
        <f t="shared" si="0"/>
        <v>223</v>
      </c>
      <c r="H75" s="8">
        <v>1</v>
      </c>
      <c r="J75" s="8">
        <f t="shared" si="1"/>
        <v>1</v>
      </c>
      <c r="K75" s="8">
        <v>1</v>
      </c>
      <c r="L75" s="8">
        <v>2</v>
      </c>
      <c r="M75" s="8">
        <v>0</v>
      </c>
      <c r="N75" s="8">
        <f t="shared" si="2"/>
        <v>3</v>
      </c>
      <c r="O75" s="8">
        <v>4</v>
      </c>
      <c r="P75" s="8">
        <v>5</v>
      </c>
      <c r="Q75" s="8">
        <v>2</v>
      </c>
      <c r="R75" s="8">
        <f t="shared" si="3"/>
        <v>11</v>
      </c>
      <c r="S75" s="31">
        <v>1.5</v>
      </c>
      <c r="T75" s="30">
        <v>1.25</v>
      </c>
      <c r="U75" s="66">
        <f>IF(A75='Свод по районам'!$A$13,'Свод по районам'!$G$13,0)</f>
        <v>1.7836587027864101</v>
      </c>
      <c r="V75" s="30">
        <f t="shared" si="4"/>
        <v>718.6</v>
      </c>
      <c r="W75" s="12">
        <f t="shared" si="16"/>
        <v>496.33534883720927</v>
      </c>
      <c r="X75" s="11">
        <v>523.2196100000001</v>
      </c>
      <c r="Y75" s="17">
        <f t="shared" si="5"/>
        <v>195.38038999999992</v>
      </c>
      <c r="Z75" s="17">
        <f t="shared" si="17"/>
        <v>195.38038999999992</v>
      </c>
      <c r="AA75" s="17">
        <f t="shared" si="6"/>
        <v>0</v>
      </c>
      <c r="AB75" s="20">
        <f t="shared" si="7"/>
        <v>-26.884261162790835</v>
      </c>
      <c r="AC75" s="17">
        <f t="shared" si="18"/>
        <v>0</v>
      </c>
      <c r="AD75" s="17">
        <f t="shared" si="8"/>
        <v>-26.884261162790835</v>
      </c>
      <c r="AE75" s="8">
        <v>13.2</v>
      </c>
      <c r="AF75" s="28">
        <f t="shared" si="9"/>
        <v>54439.393939393944</v>
      </c>
      <c r="AG75" s="28">
        <f t="shared" si="19"/>
        <v>37601.162790697672</v>
      </c>
      <c r="AH75" s="28">
        <f t="shared" si="10"/>
        <v>39637.84924242425</v>
      </c>
      <c r="AI75" s="42">
        <f t="shared" si="11"/>
        <v>14801.544696969693</v>
      </c>
      <c r="AJ75" s="44">
        <f t="shared" si="21"/>
        <v>19.111111111111111</v>
      </c>
      <c r="AK75" s="45">
        <f t="shared" si="13"/>
        <v>37601.162790697679</v>
      </c>
      <c r="AL75" s="45">
        <f t="shared" si="14"/>
        <v>27377.770290697677</v>
      </c>
      <c r="AM75" s="45">
        <f t="shared" si="15"/>
        <v>10223.392500000002</v>
      </c>
      <c r="AN75" s="23">
        <f t="shared" si="20"/>
        <v>1.4478114478114479</v>
      </c>
      <c r="AP75" s="20" t="e">
        <f>IF(AH75/S75&lt;#REF!,AH75,0)</f>
        <v>#REF!</v>
      </c>
      <c r="AQ75" s="11" t="e">
        <f>IF(AP75&gt;0,(#REF!*S75-AP75)*AE75/1000*1.302*4,0)</f>
        <v>#REF!</v>
      </c>
    </row>
    <row r="76" spans="1:43" x14ac:dyDescent="0.25">
      <c r="A76" s="8" t="s">
        <v>25</v>
      </c>
      <c r="B76" s="30" t="s">
        <v>328</v>
      </c>
      <c r="C76" s="8">
        <v>145</v>
      </c>
      <c r="D76" s="8">
        <v>0</v>
      </c>
      <c r="E76" s="8">
        <v>0</v>
      </c>
      <c r="F76" s="8">
        <f t="shared" si="0"/>
        <v>145</v>
      </c>
      <c r="G76" s="8">
        <v>2</v>
      </c>
      <c r="J76" s="8">
        <f t="shared" si="1"/>
        <v>2</v>
      </c>
      <c r="K76" s="8">
        <v>1</v>
      </c>
      <c r="L76" s="8">
        <v>0</v>
      </c>
      <c r="M76" s="8">
        <v>0</v>
      </c>
      <c r="N76" s="8">
        <f t="shared" si="2"/>
        <v>1</v>
      </c>
      <c r="O76" s="8">
        <v>6</v>
      </c>
      <c r="R76" s="8">
        <f t="shared" si="3"/>
        <v>6</v>
      </c>
      <c r="S76" s="31">
        <v>1.5</v>
      </c>
      <c r="T76" s="30">
        <v>1.25</v>
      </c>
      <c r="U76" s="66">
        <f>IF(A76='Свод по районам'!$A$13,'Свод по районам'!$G$13,0)</f>
        <v>1.7836587027864101</v>
      </c>
      <c r="V76" s="30">
        <f t="shared" si="4"/>
        <v>337.1</v>
      </c>
      <c r="W76" s="12">
        <f t="shared" si="16"/>
        <v>227.54249999999999</v>
      </c>
      <c r="X76" s="11">
        <v>396.10277000000002</v>
      </c>
      <c r="Y76" s="17">
        <f t="shared" si="5"/>
        <v>-59.002769999999998</v>
      </c>
      <c r="Z76" s="17">
        <f t="shared" si="17"/>
        <v>0</v>
      </c>
      <c r="AA76" s="17">
        <f t="shared" si="6"/>
        <v>-59.002769999999998</v>
      </c>
      <c r="AB76" s="20">
        <f t="shared" si="7"/>
        <v>-168.56027000000003</v>
      </c>
      <c r="AC76" s="17">
        <f t="shared" si="18"/>
        <v>0</v>
      </c>
      <c r="AD76" s="17">
        <f t="shared" si="8"/>
        <v>-168.56027000000003</v>
      </c>
      <c r="AE76" s="8">
        <v>6</v>
      </c>
      <c r="AF76" s="28">
        <f t="shared" si="9"/>
        <v>56183.333333333336</v>
      </c>
      <c r="AG76" s="28">
        <f t="shared" si="19"/>
        <v>37923.75</v>
      </c>
      <c r="AH76" s="28">
        <f t="shared" si="10"/>
        <v>66017.128333333327</v>
      </c>
      <c r="AI76" s="42">
        <f t="shared" si="11"/>
        <v>-9833.794999999991</v>
      </c>
      <c r="AJ76" s="44">
        <f t="shared" si="21"/>
        <v>8.8888888888888893</v>
      </c>
      <c r="AK76" s="45">
        <f t="shared" si="13"/>
        <v>37923.75</v>
      </c>
      <c r="AL76" s="45">
        <f t="shared" si="14"/>
        <v>44561.561625000002</v>
      </c>
      <c r="AM76" s="45">
        <f t="shared" si="15"/>
        <v>-6637.8116250000021</v>
      </c>
      <c r="AN76" s="23">
        <f t="shared" si="20"/>
        <v>1.4814814814814816</v>
      </c>
      <c r="AP76" s="20" t="e">
        <f>IF(AH76/S76&lt;#REF!,AH76,0)</f>
        <v>#REF!</v>
      </c>
      <c r="AQ76" s="11" t="e">
        <f>IF(AP76&gt;0,(#REF!*S76-AP76)*AE76/1000*1.302*4,0)</f>
        <v>#REF!</v>
      </c>
    </row>
    <row r="77" spans="1:43" x14ac:dyDescent="0.25">
      <c r="A77" s="8" t="s">
        <v>26</v>
      </c>
      <c r="B77" s="30" t="s">
        <v>340</v>
      </c>
      <c r="C77" s="8">
        <v>431</v>
      </c>
      <c r="D77" s="8">
        <v>473</v>
      </c>
      <c r="E77" s="8">
        <v>73</v>
      </c>
      <c r="F77" s="8">
        <f t="shared" si="0"/>
        <v>977</v>
      </c>
      <c r="G77" s="8">
        <v>3</v>
      </c>
      <c r="H77" s="8">
        <v>4</v>
      </c>
      <c r="J77" s="8">
        <f t="shared" si="1"/>
        <v>7</v>
      </c>
      <c r="K77" s="8">
        <v>18</v>
      </c>
      <c r="L77" s="8">
        <v>15</v>
      </c>
      <c r="M77" s="8">
        <v>2</v>
      </c>
      <c r="N77" s="8">
        <f t="shared" si="2"/>
        <v>35</v>
      </c>
      <c r="O77" s="8">
        <v>16</v>
      </c>
      <c r="P77" s="8">
        <v>19</v>
      </c>
      <c r="Q77" s="8">
        <v>3</v>
      </c>
      <c r="R77" s="8">
        <f t="shared" si="3"/>
        <v>38</v>
      </c>
      <c r="S77" s="31">
        <v>1.5</v>
      </c>
      <c r="T77" s="30">
        <v>1.25</v>
      </c>
      <c r="U77" s="66">
        <f>IF(A77='Свод по районам'!$A$14,'Свод по районам'!$G$14,0)</f>
        <v>1.4680097151522031</v>
      </c>
      <c r="V77" s="30">
        <f t="shared" si="4"/>
        <v>2961.5</v>
      </c>
      <c r="W77" s="12">
        <f t="shared" si="16"/>
        <v>2447.5412805391747</v>
      </c>
      <c r="X77" s="11">
        <v>2118.2709799999998</v>
      </c>
      <c r="Y77" s="17">
        <f t="shared" si="5"/>
        <v>843.22902000000022</v>
      </c>
      <c r="Z77" s="17">
        <f t="shared" si="17"/>
        <v>843.22902000000022</v>
      </c>
      <c r="AA77" s="17">
        <f t="shared" si="6"/>
        <v>0</v>
      </c>
      <c r="AB77" s="20">
        <f t="shared" si="7"/>
        <v>329.27030053917497</v>
      </c>
      <c r="AC77" s="17">
        <f t="shared" si="18"/>
        <v>329.27030053917497</v>
      </c>
      <c r="AD77" s="17">
        <f t="shared" si="8"/>
        <v>0</v>
      </c>
      <c r="AE77" s="8">
        <v>54.5</v>
      </c>
      <c r="AF77" s="28">
        <f t="shared" si="9"/>
        <v>54339.449541284404</v>
      </c>
      <c r="AG77" s="28">
        <f t="shared" si="19"/>
        <v>44909.014321819719</v>
      </c>
      <c r="AH77" s="28">
        <f t="shared" si="10"/>
        <v>38867.357431192657</v>
      </c>
      <c r="AI77" s="42">
        <f t="shared" si="11"/>
        <v>15472.092110091748</v>
      </c>
      <c r="AJ77" s="44">
        <f t="shared" si="21"/>
        <v>65.944444444444429</v>
      </c>
      <c r="AK77" s="45">
        <f t="shared" si="13"/>
        <v>44909.014321819726</v>
      </c>
      <c r="AL77" s="45">
        <f t="shared" si="14"/>
        <v>32122.05361415333</v>
      </c>
      <c r="AM77" s="45">
        <f t="shared" si="15"/>
        <v>12786.960707666396</v>
      </c>
      <c r="AN77" s="23">
        <f t="shared" si="20"/>
        <v>1.2099898063200814</v>
      </c>
      <c r="AP77" s="20" t="e">
        <f>IF(AH77/S77&lt;#REF!,AH77,0)</f>
        <v>#REF!</v>
      </c>
      <c r="AQ77" s="11" t="e">
        <f>IF(AP77&gt;0,(#REF!*S77-AP77)*AE77/1000*1.302*4,0)</f>
        <v>#REF!</v>
      </c>
    </row>
    <row r="78" spans="1:43" x14ac:dyDescent="0.25">
      <c r="A78" s="8" t="s">
        <v>26</v>
      </c>
      <c r="B78" s="30" t="s">
        <v>346</v>
      </c>
      <c r="C78" s="8">
        <v>353</v>
      </c>
      <c r="D78" s="8">
        <v>362</v>
      </c>
      <c r="E78" s="8">
        <v>58</v>
      </c>
      <c r="F78" s="8">
        <f t="shared" si="0"/>
        <v>773</v>
      </c>
      <c r="G78" s="8">
        <v>1</v>
      </c>
      <c r="J78" s="8">
        <f t="shared" si="1"/>
        <v>1</v>
      </c>
      <c r="K78" s="8">
        <v>10</v>
      </c>
      <c r="L78" s="8">
        <v>9</v>
      </c>
      <c r="M78" s="8">
        <v>0</v>
      </c>
      <c r="N78" s="8">
        <f t="shared" si="2"/>
        <v>19</v>
      </c>
      <c r="O78" s="8">
        <v>13</v>
      </c>
      <c r="P78" s="8">
        <v>14</v>
      </c>
      <c r="Q78" s="8">
        <v>3</v>
      </c>
      <c r="R78" s="8">
        <f t="shared" si="3"/>
        <v>30</v>
      </c>
      <c r="S78" s="31">
        <v>1.5</v>
      </c>
      <c r="T78" s="30">
        <v>1</v>
      </c>
      <c r="U78" s="66">
        <f>IF(A78='Свод по районам'!$A$14,'Свод по районам'!$G$14,0)</f>
        <v>1.4680097151522031</v>
      </c>
      <c r="V78" s="30">
        <f t="shared" si="4"/>
        <v>1817.9</v>
      </c>
      <c r="W78" s="12">
        <f t="shared" si="16"/>
        <v>1297.8580449438202</v>
      </c>
      <c r="X78" s="11">
        <v>1034.9797099999998</v>
      </c>
      <c r="Y78" s="17">
        <f t="shared" si="5"/>
        <v>782.92029000000025</v>
      </c>
      <c r="Z78" s="17">
        <f t="shared" si="17"/>
        <v>782.92029000000025</v>
      </c>
      <c r="AA78" s="17">
        <f t="shared" si="6"/>
        <v>0</v>
      </c>
      <c r="AB78" s="20">
        <f t="shared" si="7"/>
        <v>262.87833494382039</v>
      </c>
      <c r="AC78" s="17">
        <f t="shared" si="18"/>
        <v>262.87833494382039</v>
      </c>
      <c r="AD78" s="17">
        <f t="shared" si="8"/>
        <v>0</v>
      </c>
      <c r="AE78" s="8">
        <v>35.299999999999997</v>
      </c>
      <c r="AF78" s="28">
        <f t="shared" si="9"/>
        <v>51498.583569405106</v>
      </c>
      <c r="AG78" s="28">
        <f t="shared" si="19"/>
        <v>36766.51685393259</v>
      </c>
      <c r="AH78" s="28">
        <f t="shared" si="10"/>
        <v>29319.53852691218</v>
      </c>
      <c r="AI78" s="42">
        <f t="shared" si="11"/>
        <v>22179.045042492926</v>
      </c>
      <c r="AJ78" s="44">
        <f t="shared" si="21"/>
        <v>49.444444444444443</v>
      </c>
      <c r="AK78" s="45">
        <f t="shared" si="13"/>
        <v>36766.51685393259</v>
      </c>
      <c r="AL78" s="45">
        <f t="shared" si="14"/>
        <v>20932.173910112357</v>
      </c>
      <c r="AM78" s="45">
        <f t="shared" si="15"/>
        <v>15834.342943820233</v>
      </c>
      <c r="AN78" s="23">
        <f t="shared" si="20"/>
        <v>1.4006924771797293</v>
      </c>
      <c r="AP78" s="20" t="e">
        <f>IF(AH78/S78&lt;#REF!,AH78,0)</f>
        <v>#REF!</v>
      </c>
      <c r="AQ78" s="11" t="e">
        <f>IF(AP78&gt;0,(#REF!*S78-AP78)*AE78/1000*1.302*4,0)</f>
        <v>#REF!</v>
      </c>
    </row>
    <row r="79" spans="1:43" x14ac:dyDescent="0.25">
      <c r="A79" s="8" t="s">
        <v>26</v>
      </c>
      <c r="B79" s="30" t="s">
        <v>345</v>
      </c>
      <c r="C79" s="8">
        <v>286</v>
      </c>
      <c r="D79" s="8">
        <v>373</v>
      </c>
      <c r="E79" s="8">
        <v>81</v>
      </c>
      <c r="F79" s="8">
        <f t="shared" si="0"/>
        <v>740</v>
      </c>
      <c r="G79" s="8">
        <v>2</v>
      </c>
      <c r="H79" s="8">
        <v>2</v>
      </c>
      <c r="J79" s="8">
        <f t="shared" si="1"/>
        <v>4</v>
      </c>
      <c r="K79" s="8">
        <v>3</v>
      </c>
      <c r="L79" s="8">
        <v>4</v>
      </c>
      <c r="M79" s="8">
        <v>0</v>
      </c>
      <c r="N79" s="8">
        <f t="shared" si="2"/>
        <v>7</v>
      </c>
      <c r="O79" s="8">
        <v>10</v>
      </c>
      <c r="P79" s="8">
        <v>15</v>
      </c>
      <c r="Q79" s="8">
        <v>4</v>
      </c>
      <c r="R79" s="8">
        <f t="shared" si="3"/>
        <v>29</v>
      </c>
      <c r="S79" s="31">
        <v>1.5</v>
      </c>
      <c r="T79" s="30">
        <v>1</v>
      </c>
      <c r="U79" s="66">
        <f>IF(A79='Свод по районам'!$A$14,'Свод по районам'!$G$14,0)</f>
        <v>1.4680097151522031</v>
      </c>
      <c r="V79" s="30">
        <f t="shared" si="4"/>
        <v>1845.7</v>
      </c>
      <c r="W79" s="12">
        <f t="shared" si="16"/>
        <v>1376.7271537622685</v>
      </c>
      <c r="X79" s="11">
        <v>1074.53388</v>
      </c>
      <c r="Y79" s="17">
        <f t="shared" si="5"/>
        <v>771.16612000000009</v>
      </c>
      <c r="Z79" s="17">
        <f t="shared" si="17"/>
        <v>771.16612000000009</v>
      </c>
      <c r="AA79" s="17">
        <f t="shared" si="6"/>
        <v>0</v>
      </c>
      <c r="AB79" s="20">
        <f t="shared" si="7"/>
        <v>302.19327376226852</v>
      </c>
      <c r="AC79" s="17">
        <f t="shared" si="18"/>
        <v>302.19327376226852</v>
      </c>
      <c r="AD79" s="17">
        <f t="shared" si="8"/>
        <v>0</v>
      </c>
      <c r="AE79" s="8">
        <v>38</v>
      </c>
      <c r="AF79" s="28">
        <f t="shared" si="9"/>
        <v>48571.052631578954</v>
      </c>
      <c r="AG79" s="28">
        <f t="shared" si="19"/>
        <v>36229.661941112325</v>
      </c>
      <c r="AH79" s="28">
        <f t="shared" si="10"/>
        <v>28277.207368421052</v>
      </c>
      <c r="AI79" s="42">
        <f t="shared" si="11"/>
        <v>20293.845263157902</v>
      </c>
      <c r="AJ79" s="44">
        <f t="shared" si="21"/>
        <v>50.944444444444443</v>
      </c>
      <c r="AK79" s="45">
        <f t="shared" si="13"/>
        <v>36229.661941112325</v>
      </c>
      <c r="AL79" s="45">
        <f t="shared" si="14"/>
        <v>21092.268091603051</v>
      </c>
      <c r="AM79" s="45">
        <f t="shared" si="15"/>
        <v>15137.393849509273</v>
      </c>
      <c r="AN79" s="23">
        <f t="shared" si="20"/>
        <v>1.3406432748538011</v>
      </c>
      <c r="AP79" s="20" t="e">
        <f>IF(AH79/S79&lt;#REF!,AH79,0)</f>
        <v>#REF!</v>
      </c>
      <c r="AQ79" s="11" t="e">
        <f>IF(AP79&gt;0,(#REF!*S79-AP79)*AE79/1000*1.302*4,0)</f>
        <v>#REF!</v>
      </c>
    </row>
    <row r="80" spans="1:43" x14ac:dyDescent="0.25">
      <c r="A80" s="8" t="s">
        <v>26</v>
      </c>
      <c r="B80" s="30" t="s">
        <v>348</v>
      </c>
      <c r="C80" s="8">
        <v>275</v>
      </c>
      <c r="D80" s="8">
        <v>263</v>
      </c>
      <c r="E80" s="8">
        <v>42</v>
      </c>
      <c r="F80" s="8">
        <f t="shared" si="0"/>
        <v>580</v>
      </c>
      <c r="G80" s="8">
        <v>5</v>
      </c>
      <c r="H80" s="8">
        <v>3</v>
      </c>
      <c r="J80" s="8">
        <f t="shared" si="1"/>
        <v>8</v>
      </c>
      <c r="K80" s="8">
        <v>11</v>
      </c>
      <c r="L80" s="8">
        <v>2</v>
      </c>
      <c r="M80" s="8">
        <v>0</v>
      </c>
      <c r="N80" s="8">
        <f t="shared" si="2"/>
        <v>13</v>
      </c>
      <c r="O80" s="8">
        <v>10</v>
      </c>
      <c r="P80" s="8">
        <v>11</v>
      </c>
      <c r="Q80" s="8">
        <v>2</v>
      </c>
      <c r="R80" s="8">
        <f t="shared" si="3"/>
        <v>23</v>
      </c>
      <c r="S80" s="31">
        <v>1.5</v>
      </c>
      <c r="T80" s="30">
        <v>1</v>
      </c>
      <c r="U80" s="66">
        <f>IF(A80='Свод по районам'!$A$14,'Свод по районам'!$G$14,0)</f>
        <v>1.4680097151522031</v>
      </c>
      <c r="V80" s="30">
        <f t="shared" si="4"/>
        <v>1414.4</v>
      </c>
      <c r="W80" s="12">
        <f t="shared" si="16"/>
        <v>918.9818181818182</v>
      </c>
      <c r="X80" s="11">
        <v>1076.3306099999998</v>
      </c>
      <c r="Y80" s="17">
        <f t="shared" si="5"/>
        <v>338.06939000000034</v>
      </c>
      <c r="Z80" s="17">
        <f t="shared" si="17"/>
        <v>338.06939000000034</v>
      </c>
      <c r="AA80" s="17">
        <f t="shared" si="6"/>
        <v>0</v>
      </c>
      <c r="AB80" s="20">
        <f t="shared" si="7"/>
        <v>-157.34879181818155</v>
      </c>
      <c r="AC80" s="17">
        <f t="shared" si="18"/>
        <v>0</v>
      </c>
      <c r="AD80" s="17">
        <f t="shared" si="8"/>
        <v>-157.34879181818155</v>
      </c>
      <c r="AE80" s="8">
        <v>27</v>
      </c>
      <c r="AF80" s="28">
        <f t="shared" si="9"/>
        <v>52385.18518518519</v>
      </c>
      <c r="AG80" s="28">
        <f t="shared" si="19"/>
        <v>34036.36363636364</v>
      </c>
      <c r="AH80" s="28">
        <f t="shared" si="10"/>
        <v>39864.096666666657</v>
      </c>
      <c r="AI80" s="42">
        <f t="shared" si="11"/>
        <v>12521.088518518533</v>
      </c>
      <c r="AJ80" s="44">
        <f t="shared" si="21"/>
        <v>41.555555555555557</v>
      </c>
      <c r="AK80" s="45">
        <f t="shared" si="13"/>
        <v>34036.36363636364</v>
      </c>
      <c r="AL80" s="45">
        <f t="shared" si="14"/>
        <v>25901.003983957213</v>
      </c>
      <c r="AM80" s="45">
        <f t="shared" si="15"/>
        <v>8135.3596524064269</v>
      </c>
      <c r="AN80" s="23">
        <f t="shared" si="20"/>
        <v>1.5390946502057614</v>
      </c>
      <c r="AP80" s="20" t="e">
        <f>IF(AH80/S80&lt;#REF!,AH80,0)</f>
        <v>#REF!</v>
      </c>
      <c r="AQ80" s="11" t="e">
        <f>IF(AP80&gt;0,(#REF!*S80-AP80)*AE80/1000*1.302*4,0)</f>
        <v>#REF!</v>
      </c>
    </row>
    <row r="81" spans="1:43" x14ac:dyDescent="0.25">
      <c r="A81" s="8" t="s">
        <v>26</v>
      </c>
      <c r="B81" s="30" t="s">
        <v>347</v>
      </c>
      <c r="C81" s="8">
        <v>246</v>
      </c>
      <c r="D81" s="8">
        <v>269</v>
      </c>
      <c r="E81" s="8">
        <v>41</v>
      </c>
      <c r="F81" s="8">
        <f t="shared" ref="F81:F143" si="22">SUM(C81:E81)</f>
        <v>556</v>
      </c>
      <c r="G81" s="8">
        <v>5</v>
      </c>
      <c r="H81" s="8">
        <v>12</v>
      </c>
      <c r="J81" s="8">
        <f t="shared" ref="J81:J143" si="23">SUM(G81:I81)</f>
        <v>17</v>
      </c>
      <c r="K81" s="8">
        <v>25</v>
      </c>
      <c r="L81" s="8">
        <v>10</v>
      </c>
      <c r="M81" s="8">
        <v>0</v>
      </c>
      <c r="N81" s="8">
        <f t="shared" ref="N81:N143" si="24">SUM(K81:M81)</f>
        <v>35</v>
      </c>
      <c r="O81" s="8">
        <v>9</v>
      </c>
      <c r="P81" s="8">
        <v>12</v>
      </c>
      <c r="Q81" s="8">
        <v>2</v>
      </c>
      <c r="R81" s="8">
        <f t="shared" ref="R81:R143" si="25">SUM(O81:Q81)</f>
        <v>23</v>
      </c>
      <c r="S81" s="31">
        <v>1.5</v>
      </c>
      <c r="T81" s="30">
        <v>1</v>
      </c>
      <c r="U81" s="66">
        <f>IF(A81='Свод по районам'!$A$14,'Свод по районам'!$G$14,0)</f>
        <v>1.4680097151522031</v>
      </c>
      <c r="V81" s="30">
        <f t="shared" si="4"/>
        <v>1474.8</v>
      </c>
      <c r="W81" s="12">
        <f t="shared" si="16"/>
        <v>1147.4495327102802</v>
      </c>
      <c r="X81" s="11">
        <v>1059.0104399999998</v>
      </c>
      <c r="Y81" s="17">
        <f t="shared" ref="Y81:Y143" si="26">V81-X81</f>
        <v>415.78956000000017</v>
      </c>
      <c r="Z81" s="17">
        <f t="shared" ref="Z81:Z143" si="27">IF(Y81&gt;0,Y81,0)</f>
        <v>415.78956000000017</v>
      </c>
      <c r="AA81" s="17">
        <f t="shared" ref="AA81:AA143" si="28">IF(Y81&lt;0,Y81,0)</f>
        <v>0</v>
      </c>
      <c r="AB81" s="20">
        <f t="shared" ref="AB81:AB143" si="29">W81-X81</f>
        <v>88.43909271028042</v>
      </c>
      <c r="AC81" s="17">
        <f t="shared" ref="AC81:AC143" si="30">IF(AB81&gt;0,AB81,0)</f>
        <v>88.43909271028042</v>
      </c>
      <c r="AD81" s="17">
        <f t="shared" ref="AD81:AD143" si="31">IF(AB81&lt;0,AB81,0)</f>
        <v>0</v>
      </c>
      <c r="AE81" s="8">
        <v>37</v>
      </c>
      <c r="AF81" s="28">
        <f t="shared" ref="AF81:AF143" si="32">V81/AE81*1000</f>
        <v>39859.45945945946</v>
      </c>
      <c r="AG81" s="28">
        <f t="shared" si="19"/>
        <v>31012.149532710275</v>
      </c>
      <c r="AH81" s="28">
        <f t="shared" ref="AH81:AH143" si="33">X81/AE81*1000</f>
        <v>28621.903783783779</v>
      </c>
      <c r="AI81" s="42">
        <f t="shared" ref="AI81:AI143" si="34">AF81-AH81</f>
        <v>11237.555675675681</v>
      </c>
      <c r="AJ81" s="44">
        <f t="shared" ref="AJ81:AJ109" si="35">(O81*$E$10+P81*$E$11+Q81*$E$12)+(G81*$S$10+H81*$S$11+I81*$S$12)</f>
        <v>47.555555555555557</v>
      </c>
      <c r="AK81" s="45">
        <f t="shared" ref="AK81:AK143" si="36">V81/AJ81*1000</f>
        <v>31012.149532710278</v>
      </c>
      <c r="AL81" s="45">
        <f t="shared" ref="AL81:AL143" si="37">X81/AJ81*1000</f>
        <v>22268.911121495323</v>
      </c>
      <c r="AM81" s="45">
        <f t="shared" ref="AM81:AM143" si="38">AK81-AL81</f>
        <v>8743.2384112149557</v>
      </c>
      <c r="AN81" s="23">
        <f t="shared" ref="AN81:AN143" si="39">AJ81/AE81</f>
        <v>1.2852852852852854</v>
      </c>
      <c r="AP81" s="20" t="e">
        <f>IF(AH81/S81&lt;#REF!,AH81,0)</f>
        <v>#REF!</v>
      </c>
      <c r="AQ81" s="11" t="e">
        <f>IF(AP81&gt;0,(#REF!*S81-AP81)*AE81/1000*1.302*4,0)</f>
        <v>#REF!</v>
      </c>
    </row>
    <row r="82" spans="1:43" x14ac:dyDescent="0.25">
      <c r="A82" s="8" t="s">
        <v>26</v>
      </c>
      <c r="B82" s="30" t="s">
        <v>344</v>
      </c>
      <c r="C82" s="8">
        <v>235</v>
      </c>
      <c r="D82" s="8">
        <v>244</v>
      </c>
      <c r="E82" s="8">
        <v>53</v>
      </c>
      <c r="F82" s="8">
        <f t="shared" si="22"/>
        <v>532</v>
      </c>
      <c r="G82" s="8">
        <v>1</v>
      </c>
      <c r="J82" s="8">
        <f t="shared" si="23"/>
        <v>1</v>
      </c>
      <c r="K82" s="8">
        <v>7</v>
      </c>
      <c r="L82" s="8">
        <v>2</v>
      </c>
      <c r="M82" s="8">
        <v>0</v>
      </c>
      <c r="N82" s="8">
        <f t="shared" si="24"/>
        <v>9</v>
      </c>
      <c r="O82" s="8">
        <v>8</v>
      </c>
      <c r="P82" s="8">
        <v>10</v>
      </c>
      <c r="Q82" s="8">
        <v>2</v>
      </c>
      <c r="R82" s="8">
        <f t="shared" si="25"/>
        <v>20</v>
      </c>
      <c r="S82" s="31">
        <v>1.5</v>
      </c>
      <c r="T82" s="30">
        <v>1</v>
      </c>
      <c r="U82" s="66">
        <f>IF(A82='Свод по районам'!$A$14,'Свод по районам'!$G$14,0)</f>
        <v>1.4680097151522031</v>
      </c>
      <c r="V82" s="30">
        <f t="shared" ref="V82:V145" si="40">ROUND((((C82-G82)*$K$10+(D82-H82)*$K$11+(E82-I82)*$K$12)+(G82*$X$10+H82*$X$11+I82*$X$12)+(K82*$K$10*0.2+L82*$K$11*0.2+M82*$K$12*0.2))*T82*S82/1.302/12,1)</f>
        <v>1277.3</v>
      </c>
      <c r="W82" s="12">
        <f t="shared" ref="W82:W144" si="41">V82/AN82</f>
        <v>908.96232558139536</v>
      </c>
      <c r="X82" s="11">
        <v>719.42040999999995</v>
      </c>
      <c r="Y82" s="17">
        <f t="shared" si="26"/>
        <v>557.87959000000001</v>
      </c>
      <c r="Z82" s="17">
        <f t="shared" si="27"/>
        <v>557.87959000000001</v>
      </c>
      <c r="AA82" s="17">
        <f t="shared" si="28"/>
        <v>0</v>
      </c>
      <c r="AB82" s="20">
        <f t="shared" si="29"/>
        <v>189.54191558139541</v>
      </c>
      <c r="AC82" s="17">
        <f t="shared" si="30"/>
        <v>189.54191558139541</v>
      </c>
      <c r="AD82" s="17">
        <f t="shared" si="31"/>
        <v>0</v>
      </c>
      <c r="AE82" s="8">
        <v>23.8</v>
      </c>
      <c r="AF82" s="28">
        <f t="shared" si="32"/>
        <v>53668.067226890758</v>
      </c>
      <c r="AG82" s="28">
        <f t="shared" ref="AG82:AG144" si="42">W82/AE82*1000</f>
        <v>38191.694352159466</v>
      </c>
      <c r="AH82" s="28">
        <f t="shared" si="33"/>
        <v>30227.748319327726</v>
      </c>
      <c r="AI82" s="42">
        <f t="shared" si="34"/>
        <v>23440.318907563033</v>
      </c>
      <c r="AJ82" s="44">
        <f t="shared" si="35"/>
        <v>33.444444444444443</v>
      </c>
      <c r="AK82" s="45">
        <f t="shared" si="36"/>
        <v>38191.694352159466</v>
      </c>
      <c r="AL82" s="45">
        <f t="shared" si="37"/>
        <v>21510.909269102987</v>
      </c>
      <c r="AM82" s="45">
        <f t="shared" si="38"/>
        <v>16680.785083056478</v>
      </c>
      <c r="AN82" s="23">
        <f t="shared" si="39"/>
        <v>1.4052287581699345</v>
      </c>
      <c r="AP82" s="20" t="e">
        <f>IF(AH82/S82&lt;#REF!,AH82,0)</f>
        <v>#REF!</v>
      </c>
      <c r="AQ82" s="11" t="e">
        <f>IF(AP82&gt;0,(#REF!*S82-AP82)*AE82/1000*1.302*4,0)</f>
        <v>#REF!</v>
      </c>
    </row>
    <row r="83" spans="1:43" x14ac:dyDescent="0.25">
      <c r="A83" s="8" t="s">
        <v>26</v>
      </c>
      <c r="B83" s="30" t="s">
        <v>343</v>
      </c>
      <c r="C83" s="8">
        <v>257</v>
      </c>
      <c r="D83" s="8">
        <v>266</v>
      </c>
      <c r="E83" s="8">
        <v>22</v>
      </c>
      <c r="F83" s="8">
        <f t="shared" si="22"/>
        <v>545</v>
      </c>
      <c r="G83" s="8">
        <v>3</v>
      </c>
      <c r="H83" s="8">
        <v>8</v>
      </c>
      <c r="J83" s="8">
        <f t="shared" si="23"/>
        <v>11</v>
      </c>
      <c r="K83" s="8">
        <v>14</v>
      </c>
      <c r="L83" s="8">
        <v>5</v>
      </c>
      <c r="M83" s="8">
        <v>0</v>
      </c>
      <c r="N83" s="8">
        <f t="shared" si="24"/>
        <v>19</v>
      </c>
      <c r="O83" s="8">
        <v>10</v>
      </c>
      <c r="P83" s="8">
        <v>11</v>
      </c>
      <c r="Q83" s="8">
        <v>2</v>
      </c>
      <c r="R83" s="8">
        <f t="shared" si="25"/>
        <v>23</v>
      </c>
      <c r="S83" s="31">
        <v>1.5</v>
      </c>
      <c r="T83" s="30">
        <v>1</v>
      </c>
      <c r="U83" s="66">
        <f>IF(A83='Свод по районам'!$A$14,'Свод по районам'!$G$14,0)</f>
        <v>1.4680097151522031</v>
      </c>
      <c r="V83" s="30">
        <f t="shared" si="40"/>
        <v>1346.8</v>
      </c>
      <c r="W83" s="12">
        <f t="shared" si="41"/>
        <v>871.74068614993644</v>
      </c>
      <c r="X83" s="11">
        <v>965.10907999999995</v>
      </c>
      <c r="Y83" s="17">
        <f t="shared" si="26"/>
        <v>381.69092000000001</v>
      </c>
      <c r="Z83" s="17">
        <f t="shared" si="27"/>
        <v>381.69092000000001</v>
      </c>
      <c r="AA83" s="17">
        <f t="shared" si="28"/>
        <v>0</v>
      </c>
      <c r="AB83" s="20">
        <f t="shared" si="29"/>
        <v>-93.368393850063512</v>
      </c>
      <c r="AC83" s="17">
        <f t="shared" si="30"/>
        <v>0</v>
      </c>
      <c r="AD83" s="17">
        <f t="shared" si="31"/>
        <v>-93.368393850063512</v>
      </c>
      <c r="AE83" s="8">
        <v>28.3</v>
      </c>
      <c r="AF83" s="28">
        <f t="shared" si="32"/>
        <v>47590.106007067137</v>
      </c>
      <c r="AG83" s="28">
        <f t="shared" si="42"/>
        <v>30803.557814485386</v>
      </c>
      <c r="AH83" s="28">
        <f t="shared" si="33"/>
        <v>34102.794346289746</v>
      </c>
      <c r="AI83" s="42">
        <f t="shared" si="34"/>
        <v>13487.311660777392</v>
      </c>
      <c r="AJ83" s="44">
        <f t="shared" si="35"/>
        <v>43.722222222222221</v>
      </c>
      <c r="AK83" s="45">
        <f t="shared" si="36"/>
        <v>30803.557814485386</v>
      </c>
      <c r="AL83" s="45">
        <f t="shared" si="37"/>
        <v>22073.651130876748</v>
      </c>
      <c r="AM83" s="45">
        <f t="shared" si="38"/>
        <v>8729.9066836086386</v>
      </c>
      <c r="AN83" s="23">
        <f t="shared" si="39"/>
        <v>1.5449548488417746</v>
      </c>
      <c r="AP83" s="20" t="e">
        <f>IF(AH83/S83&lt;#REF!,AH83,0)</f>
        <v>#REF!</v>
      </c>
      <c r="AQ83" s="11" t="e">
        <f>IF(AP83&gt;0,(#REF!*S83-AP83)*AE83/1000*1.302*4,0)</f>
        <v>#REF!</v>
      </c>
    </row>
    <row r="84" spans="1:43" x14ac:dyDescent="0.25">
      <c r="A84" s="8" t="s">
        <v>26</v>
      </c>
      <c r="B84" s="30" t="s">
        <v>341</v>
      </c>
      <c r="C84" s="8">
        <v>215</v>
      </c>
      <c r="D84" s="8">
        <v>236</v>
      </c>
      <c r="E84" s="8">
        <v>35</v>
      </c>
      <c r="F84" s="8">
        <f t="shared" si="22"/>
        <v>486</v>
      </c>
      <c r="G84" s="8">
        <v>5</v>
      </c>
      <c r="H84" s="8">
        <v>7</v>
      </c>
      <c r="J84" s="8">
        <f t="shared" si="23"/>
        <v>12</v>
      </c>
      <c r="K84" s="8">
        <v>20</v>
      </c>
      <c r="L84" s="8">
        <v>17</v>
      </c>
      <c r="M84" s="8">
        <v>0</v>
      </c>
      <c r="N84" s="8">
        <f t="shared" si="24"/>
        <v>37</v>
      </c>
      <c r="O84" s="8">
        <v>9</v>
      </c>
      <c r="P84" s="8">
        <v>10</v>
      </c>
      <c r="Q84" s="8">
        <v>2</v>
      </c>
      <c r="R84" s="8">
        <f t="shared" si="25"/>
        <v>21</v>
      </c>
      <c r="S84" s="31">
        <v>1.5</v>
      </c>
      <c r="T84" s="30">
        <v>1.25</v>
      </c>
      <c r="U84" s="66">
        <f>IF(A84='Свод по районам'!$A$14,'Свод по районам'!$G$14,0)</f>
        <v>1.4680097151522031</v>
      </c>
      <c r="V84" s="30">
        <f t="shared" si="40"/>
        <v>1576.6</v>
      </c>
      <c r="W84" s="12">
        <f t="shared" si="41"/>
        <v>1212.373224489796</v>
      </c>
      <c r="X84" s="11">
        <v>1245.4604099999999</v>
      </c>
      <c r="Y84" s="17">
        <f t="shared" si="26"/>
        <v>331.13959</v>
      </c>
      <c r="Z84" s="17">
        <f t="shared" si="27"/>
        <v>331.13959</v>
      </c>
      <c r="AA84" s="17">
        <f t="shared" si="28"/>
        <v>0</v>
      </c>
      <c r="AB84" s="20">
        <f t="shared" si="29"/>
        <v>-33.087185510203881</v>
      </c>
      <c r="AC84" s="17">
        <f t="shared" si="30"/>
        <v>0</v>
      </c>
      <c r="AD84" s="17">
        <f t="shared" si="31"/>
        <v>-33.087185510203881</v>
      </c>
      <c r="AE84" s="8">
        <v>31.4</v>
      </c>
      <c r="AF84" s="28">
        <f t="shared" si="32"/>
        <v>50210.191082802543</v>
      </c>
      <c r="AG84" s="28">
        <f t="shared" si="42"/>
        <v>38610.612244897966</v>
      </c>
      <c r="AH84" s="28">
        <f t="shared" si="33"/>
        <v>39664.344267515924</v>
      </c>
      <c r="AI84" s="42">
        <f t="shared" si="34"/>
        <v>10545.846815286619</v>
      </c>
      <c r="AJ84" s="44">
        <f t="shared" si="35"/>
        <v>40.833333333333329</v>
      </c>
      <c r="AK84" s="45">
        <f t="shared" si="36"/>
        <v>38610.612244897966</v>
      </c>
      <c r="AL84" s="45">
        <f t="shared" si="37"/>
        <v>30501.071265306124</v>
      </c>
      <c r="AM84" s="45">
        <f t="shared" si="38"/>
        <v>8109.5409795918422</v>
      </c>
      <c r="AN84" s="23">
        <f t="shared" si="39"/>
        <v>1.300424628450106</v>
      </c>
      <c r="AP84" s="20" t="e">
        <f>IF(AH84/S84&lt;#REF!,AH84,0)</f>
        <v>#REF!</v>
      </c>
      <c r="AQ84" s="11" t="e">
        <f>IF(AP84&gt;0,(#REF!*S84-AP84)*AE84/1000*1.302*4,0)</f>
        <v>#REF!</v>
      </c>
    </row>
    <row r="85" spans="1:43" x14ac:dyDescent="0.25">
      <c r="A85" s="8" t="s">
        <v>26</v>
      </c>
      <c r="B85" s="30" t="s">
        <v>336</v>
      </c>
      <c r="C85" s="8">
        <v>142</v>
      </c>
      <c r="D85" s="8">
        <v>162</v>
      </c>
      <c r="E85" s="8">
        <v>21</v>
      </c>
      <c r="F85" s="8">
        <f t="shared" si="22"/>
        <v>325</v>
      </c>
      <c r="J85" s="8">
        <f t="shared" si="23"/>
        <v>0</v>
      </c>
      <c r="K85" s="8">
        <v>7</v>
      </c>
      <c r="L85" s="8">
        <v>2</v>
      </c>
      <c r="M85" s="8">
        <v>0</v>
      </c>
      <c r="N85" s="8">
        <f t="shared" si="24"/>
        <v>9</v>
      </c>
      <c r="O85" s="8">
        <v>7</v>
      </c>
      <c r="P85" s="8">
        <v>9</v>
      </c>
      <c r="Q85" s="8">
        <v>2</v>
      </c>
      <c r="R85" s="8">
        <f t="shared" si="25"/>
        <v>18</v>
      </c>
      <c r="S85" s="31">
        <v>1.5</v>
      </c>
      <c r="T85" s="30">
        <v>1.25</v>
      </c>
      <c r="U85" s="66">
        <f>IF(A85='Свод по районам'!$A$14,'Свод по районам'!$G$14,0)</f>
        <v>1.4680097151522031</v>
      </c>
      <c r="V85" s="30">
        <f t="shared" si="40"/>
        <v>952.2</v>
      </c>
      <c r="W85" s="12">
        <f t="shared" si="41"/>
        <v>721.3313966480448</v>
      </c>
      <c r="X85" s="11">
        <v>847.20092999999997</v>
      </c>
      <c r="Y85" s="17">
        <f t="shared" si="26"/>
        <v>104.99907000000007</v>
      </c>
      <c r="Z85" s="17">
        <f t="shared" si="27"/>
        <v>104.99907000000007</v>
      </c>
      <c r="AA85" s="17">
        <f t="shared" si="28"/>
        <v>0</v>
      </c>
      <c r="AB85" s="20">
        <f t="shared" si="29"/>
        <v>-125.86953335195517</v>
      </c>
      <c r="AC85" s="17">
        <f t="shared" si="30"/>
        <v>0</v>
      </c>
      <c r="AD85" s="17">
        <f t="shared" si="31"/>
        <v>-125.86953335195517</v>
      </c>
      <c r="AE85" s="8">
        <v>22.6</v>
      </c>
      <c r="AF85" s="28">
        <f t="shared" si="32"/>
        <v>42132.743362831861</v>
      </c>
      <c r="AG85" s="28">
        <f t="shared" si="42"/>
        <v>31917.318435754194</v>
      </c>
      <c r="AH85" s="28">
        <f t="shared" si="33"/>
        <v>37486.766814159288</v>
      </c>
      <c r="AI85" s="42">
        <f t="shared" si="34"/>
        <v>4645.9765486725737</v>
      </c>
      <c r="AJ85" s="44">
        <f t="shared" si="35"/>
        <v>29.833333333333332</v>
      </c>
      <c r="AK85" s="45">
        <f t="shared" si="36"/>
        <v>31917.318435754194</v>
      </c>
      <c r="AL85" s="45">
        <f t="shared" si="37"/>
        <v>28397.79653631285</v>
      </c>
      <c r="AM85" s="45">
        <f t="shared" si="38"/>
        <v>3519.5218994413444</v>
      </c>
      <c r="AN85" s="23">
        <f t="shared" si="39"/>
        <v>1.3200589970501473</v>
      </c>
      <c r="AP85" s="20" t="e">
        <f>IF(AH85/S85&lt;#REF!,AH85,0)</f>
        <v>#REF!</v>
      </c>
      <c r="AQ85" s="11" t="e">
        <f>IF(AP85&gt;0,(#REF!*S85-AP85)*AE85/1000*1.302*4,0)</f>
        <v>#REF!</v>
      </c>
    </row>
    <row r="86" spans="1:43" x14ac:dyDescent="0.25">
      <c r="A86" s="8" t="s">
        <v>26</v>
      </c>
      <c r="B86" s="30" t="s">
        <v>342</v>
      </c>
      <c r="C86" s="8">
        <v>134</v>
      </c>
      <c r="D86" s="8">
        <v>153</v>
      </c>
      <c r="E86" s="8">
        <v>22</v>
      </c>
      <c r="F86" s="8">
        <f t="shared" si="22"/>
        <v>309</v>
      </c>
      <c r="G86" s="8">
        <v>1</v>
      </c>
      <c r="H86" s="8">
        <v>2</v>
      </c>
      <c r="J86" s="8">
        <f t="shared" si="23"/>
        <v>3</v>
      </c>
      <c r="K86" s="8">
        <v>2</v>
      </c>
      <c r="L86" s="8">
        <v>1</v>
      </c>
      <c r="M86" s="8">
        <v>1</v>
      </c>
      <c r="N86" s="8">
        <f t="shared" si="24"/>
        <v>4</v>
      </c>
      <c r="O86" s="8">
        <v>7</v>
      </c>
      <c r="P86" s="8">
        <v>8</v>
      </c>
      <c r="Q86" s="8">
        <v>2</v>
      </c>
      <c r="R86" s="8">
        <f t="shared" si="25"/>
        <v>17</v>
      </c>
      <c r="S86" s="31">
        <v>1.5</v>
      </c>
      <c r="T86" s="30">
        <v>1.25</v>
      </c>
      <c r="U86" s="66">
        <f>IF(A86='Свод по районам'!$A$14,'Свод по районам'!$G$14,0)</f>
        <v>1.4680097151522031</v>
      </c>
      <c r="V86" s="30">
        <f t="shared" si="40"/>
        <v>943.2</v>
      </c>
      <c r="W86" s="12">
        <f t="shared" si="41"/>
        <v>763.03820224719107</v>
      </c>
      <c r="X86" s="11">
        <v>789.61544000000004</v>
      </c>
      <c r="Y86" s="17">
        <f t="shared" si="26"/>
        <v>153.58456000000001</v>
      </c>
      <c r="Z86" s="17">
        <f t="shared" si="27"/>
        <v>153.58456000000001</v>
      </c>
      <c r="AA86" s="17">
        <f t="shared" si="28"/>
        <v>0</v>
      </c>
      <c r="AB86" s="20">
        <f t="shared" si="29"/>
        <v>-26.577237752808969</v>
      </c>
      <c r="AC86" s="17">
        <f t="shared" si="30"/>
        <v>0</v>
      </c>
      <c r="AD86" s="17">
        <f t="shared" si="31"/>
        <v>-26.577237752808969</v>
      </c>
      <c r="AE86" s="8">
        <v>24</v>
      </c>
      <c r="AF86" s="28">
        <f t="shared" si="32"/>
        <v>39300.000000000007</v>
      </c>
      <c r="AG86" s="28">
        <f t="shared" si="42"/>
        <v>31793.258426966295</v>
      </c>
      <c r="AH86" s="28">
        <f t="shared" si="33"/>
        <v>32900.643333333333</v>
      </c>
      <c r="AI86" s="42">
        <f t="shared" si="34"/>
        <v>6399.3566666666738</v>
      </c>
      <c r="AJ86" s="44">
        <f t="shared" si="35"/>
        <v>29.666666666666668</v>
      </c>
      <c r="AK86" s="45">
        <f t="shared" si="36"/>
        <v>31793.258426966295</v>
      </c>
      <c r="AL86" s="45">
        <f t="shared" si="37"/>
        <v>26616.250786516855</v>
      </c>
      <c r="AM86" s="45">
        <f t="shared" si="38"/>
        <v>5177.0076404494394</v>
      </c>
      <c r="AN86" s="23">
        <f t="shared" si="39"/>
        <v>1.2361111111111112</v>
      </c>
      <c r="AP86" s="20" t="e">
        <f>IF(AH86/S86&lt;#REF!,AH86,0)</f>
        <v>#REF!</v>
      </c>
      <c r="AQ86" s="11" t="e">
        <f>IF(AP86&gt;0,(#REF!*S86-AP86)*AE86/1000*1.302*4,0)</f>
        <v>#REF!</v>
      </c>
    </row>
    <row r="87" spans="1:43" x14ac:dyDescent="0.25">
      <c r="A87" s="8" t="s">
        <v>26</v>
      </c>
      <c r="B87" s="30" t="s">
        <v>338</v>
      </c>
      <c r="C87" s="8">
        <v>93</v>
      </c>
      <c r="D87" s="8">
        <v>104</v>
      </c>
      <c r="E87" s="8">
        <v>15</v>
      </c>
      <c r="F87" s="8">
        <f t="shared" si="22"/>
        <v>212</v>
      </c>
      <c r="G87" s="8">
        <v>2</v>
      </c>
      <c r="H87" s="8">
        <v>1</v>
      </c>
      <c r="J87" s="8">
        <f t="shared" si="23"/>
        <v>3</v>
      </c>
      <c r="K87" s="8">
        <v>3</v>
      </c>
      <c r="L87" s="8">
        <v>3</v>
      </c>
      <c r="M87" s="8">
        <v>0</v>
      </c>
      <c r="N87" s="8">
        <f t="shared" si="24"/>
        <v>6</v>
      </c>
      <c r="O87" s="8">
        <v>4</v>
      </c>
      <c r="P87" s="8">
        <v>5</v>
      </c>
      <c r="Q87" s="8">
        <v>2</v>
      </c>
      <c r="R87" s="8">
        <f t="shared" si="25"/>
        <v>11</v>
      </c>
      <c r="S87" s="31">
        <v>1.5</v>
      </c>
      <c r="T87" s="30">
        <v>1.25</v>
      </c>
      <c r="U87" s="66">
        <f>IF(A87='Свод по районам'!$A$14,'Свод по районам'!$G$14,0)</f>
        <v>1.4680097151522031</v>
      </c>
      <c r="V87" s="30">
        <f t="shared" si="40"/>
        <v>655.20000000000005</v>
      </c>
      <c r="W87" s="12">
        <f t="shared" si="41"/>
        <v>514.33199999999999</v>
      </c>
      <c r="X87" s="11">
        <v>581.93637000000012</v>
      </c>
      <c r="Y87" s="17">
        <f t="shared" si="26"/>
        <v>73.263629999999921</v>
      </c>
      <c r="Z87" s="17">
        <f t="shared" si="27"/>
        <v>73.263629999999921</v>
      </c>
      <c r="AA87" s="17">
        <f t="shared" si="28"/>
        <v>0</v>
      </c>
      <c r="AB87" s="20">
        <f t="shared" si="29"/>
        <v>-67.604370000000131</v>
      </c>
      <c r="AC87" s="17">
        <f t="shared" si="30"/>
        <v>0</v>
      </c>
      <c r="AD87" s="17">
        <f t="shared" si="31"/>
        <v>-67.604370000000131</v>
      </c>
      <c r="AE87" s="8">
        <v>15.7</v>
      </c>
      <c r="AF87" s="28">
        <f t="shared" si="32"/>
        <v>41732.484076433124</v>
      </c>
      <c r="AG87" s="28">
        <f t="shared" si="42"/>
        <v>32759.999999999996</v>
      </c>
      <c r="AH87" s="28">
        <f t="shared" si="33"/>
        <v>37066.010828025494</v>
      </c>
      <c r="AI87" s="42">
        <f t="shared" si="34"/>
        <v>4666.4732484076303</v>
      </c>
      <c r="AJ87" s="44">
        <f t="shared" si="35"/>
        <v>20</v>
      </c>
      <c r="AK87" s="45">
        <f t="shared" si="36"/>
        <v>32760.000000000004</v>
      </c>
      <c r="AL87" s="45">
        <f t="shared" si="37"/>
        <v>29096.818500000005</v>
      </c>
      <c r="AM87" s="45">
        <f t="shared" si="38"/>
        <v>3663.1814999999988</v>
      </c>
      <c r="AN87" s="23">
        <f t="shared" si="39"/>
        <v>1.2738853503184715</v>
      </c>
      <c r="AP87" s="20" t="e">
        <f>IF(AH87/S87&lt;#REF!,AH87,0)</f>
        <v>#REF!</v>
      </c>
      <c r="AQ87" s="11" t="e">
        <f>IF(AP87&gt;0,(#REF!*S87-AP87)*AE87/1000*1.302*4,0)</f>
        <v>#REF!</v>
      </c>
    </row>
    <row r="88" spans="1:43" x14ac:dyDescent="0.25">
      <c r="A88" s="8" t="s">
        <v>26</v>
      </c>
      <c r="B88" s="30" t="s">
        <v>337</v>
      </c>
      <c r="C88" s="8">
        <v>65</v>
      </c>
      <c r="D88" s="8">
        <v>112</v>
      </c>
      <c r="E88" s="8">
        <v>31</v>
      </c>
      <c r="F88" s="8">
        <f t="shared" si="22"/>
        <v>208</v>
      </c>
      <c r="G88" s="8">
        <v>1</v>
      </c>
      <c r="H88" s="8">
        <v>2</v>
      </c>
      <c r="I88" s="8">
        <v>1</v>
      </c>
      <c r="J88" s="8">
        <f t="shared" si="23"/>
        <v>4</v>
      </c>
      <c r="K88" s="8">
        <v>0</v>
      </c>
      <c r="L88" s="8">
        <v>0</v>
      </c>
      <c r="M88" s="8">
        <v>0</v>
      </c>
      <c r="N88" s="8">
        <f t="shared" si="24"/>
        <v>0</v>
      </c>
      <c r="O88" s="8">
        <v>4</v>
      </c>
      <c r="P88" s="8">
        <v>6</v>
      </c>
      <c r="Q88" s="8">
        <v>2</v>
      </c>
      <c r="R88" s="8">
        <f t="shared" si="25"/>
        <v>12</v>
      </c>
      <c r="S88" s="31">
        <v>1.5</v>
      </c>
      <c r="T88" s="30">
        <v>1.25</v>
      </c>
      <c r="U88" s="66">
        <f>IF(A88='Свод по районам'!$A$14,'Свод по районам'!$G$14,0)</f>
        <v>1.4680097151522031</v>
      </c>
      <c r="V88" s="30">
        <f t="shared" si="40"/>
        <v>713.5</v>
      </c>
      <c r="W88" s="12">
        <f t="shared" si="41"/>
        <v>503.64705882352945</v>
      </c>
      <c r="X88" s="11">
        <v>586.95593999999994</v>
      </c>
      <c r="Y88" s="17">
        <f t="shared" si="26"/>
        <v>126.54406000000006</v>
      </c>
      <c r="Z88" s="17">
        <f t="shared" si="27"/>
        <v>126.54406000000006</v>
      </c>
      <c r="AA88" s="17">
        <f t="shared" si="28"/>
        <v>0</v>
      </c>
      <c r="AB88" s="20">
        <f t="shared" si="29"/>
        <v>-83.308881176470493</v>
      </c>
      <c r="AC88" s="17">
        <f t="shared" si="30"/>
        <v>0</v>
      </c>
      <c r="AD88" s="17">
        <f t="shared" si="31"/>
        <v>-83.308881176470493</v>
      </c>
      <c r="AE88" s="8">
        <v>16</v>
      </c>
      <c r="AF88" s="28">
        <f t="shared" si="32"/>
        <v>44593.75</v>
      </c>
      <c r="AG88" s="28">
        <f t="shared" si="42"/>
        <v>31477.941176470591</v>
      </c>
      <c r="AH88" s="28">
        <f t="shared" si="33"/>
        <v>36684.746249999997</v>
      </c>
      <c r="AI88" s="42">
        <f t="shared" si="34"/>
        <v>7909.0037500000035</v>
      </c>
      <c r="AJ88" s="44">
        <f t="shared" si="35"/>
        <v>22.666666666666664</v>
      </c>
      <c r="AK88" s="45">
        <f t="shared" si="36"/>
        <v>31477.941176470591</v>
      </c>
      <c r="AL88" s="45">
        <f t="shared" si="37"/>
        <v>25895.115000000002</v>
      </c>
      <c r="AM88" s="45">
        <f t="shared" si="38"/>
        <v>5582.8261764705894</v>
      </c>
      <c r="AN88" s="23">
        <f t="shared" si="39"/>
        <v>1.4166666666666665</v>
      </c>
      <c r="AP88" s="20" t="e">
        <f>IF(AH88/S88&lt;#REF!,AH88,0)</f>
        <v>#REF!</v>
      </c>
      <c r="AQ88" s="11" t="e">
        <f>IF(AP88&gt;0,(#REF!*S88-AP88)*AE88/1000*1.302*4,0)</f>
        <v>#REF!</v>
      </c>
    </row>
    <row r="89" spans="1:43" x14ac:dyDescent="0.25">
      <c r="A89" s="8" t="s">
        <v>26</v>
      </c>
      <c r="B89" s="30" t="s">
        <v>339</v>
      </c>
      <c r="C89" s="8">
        <v>66</v>
      </c>
      <c r="D89" s="8">
        <v>75</v>
      </c>
      <c r="E89" s="8">
        <v>18</v>
      </c>
      <c r="F89" s="8">
        <f t="shared" si="22"/>
        <v>159</v>
      </c>
      <c r="G89" s="8">
        <v>1</v>
      </c>
      <c r="J89" s="8">
        <f t="shared" si="23"/>
        <v>1</v>
      </c>
      <c r="K89" s="8">
        <v>1</v>
      </c>
      <c r="L89" s="8">
        <v>2</v>
      </c>
      <c r="M89" s="8">
        <v>0</v>
      </c>
      <c r="N89" s="8">
        <f t="shared" si="24"/>
        <v>3</v>
      </c>
      <c r="O89" s="8">
        <v>4</v>
      </c>
      <c r="P89" s="8">
        <v>5</v>
      </c>
      <c r="Q89" s="8">
        <v>2</v>
      </c>
      <c r="R89" s="8">
        <f t="shared" si="25"/>
        <v>11</v>
      </c>
      <c r="S89" s="31">
        <v>1.5</v>
      </c>
      <c r="T89" s="30">
        <v>1.25</v>
      </c>
      <c r="U89" s="66">
        <f>IF(A89='Свод по районам'!$A$14,'Свод по районам'!$G$14,0)</f>
        <v>1.4680097151522031</v>
      </c>
      <c r="V89" s="30">
        <f t="shared" si="40"/>
        <v>492.8</v>
      </c>
      <c r="W89" s="12">
        <f t="shared" si="41"/>
        <v>327.76258064516134</v>
      </c>
      <c r="X89" s="11">
        <v>507.18657000000002</v>
      </c>
      <c r="Y89" s="17">
        <f t="shared" si="26"/>
        <v>-14.386570000000006</v>
      </c>
      <c r="Z89" s="17">
        <f t="shared" si="27"/>
        <v>0</v>
      </c>
      <c r="AA89" s="17">
        <f t="shared" si="28"/>
        <v>-14.386570000000006</v>
      </c>
      <c r="AB89" s="20">
        <f t="shared" si="29"/>
        <v>-179.42398935483868</v>
      </c>
      <c r="AC89" s="17">
        <f t="shared" si="30"/>
        <v>0</v>
      </c>
      <c r="AD89" s="17">
        <f t="shared" si="31"/>
        <v>-179.42398935483868</v>
      </c>
      <c r="AE89" s="8">
        <v>12.6</v>
      </c>
      <c r="AF89" s="28">
        <f t="shared" si="32"/>
        <v>39111.111111111117</v>
      </c>
      <c r="AG89" s="28">
        <f t="shared" si="42"/>
        <v>26012.903225806458</v>
      </c>
      <c r="AH89" s="28">
        <f t="shared" si="33"/>
        <v>40252.902380952386</v>
      </c>
      <c r="AI89" s="42">
        <f t="shared" si="34"/>
        <v>-1141.7912698412692</v>
      </c>
      <c r="AJ89" s="44">
        <f t="shared" si="35"/>
        <v>18.944444444444443</v>
      </c>
      <c r="AK89" s="45">
        <f t="shared" si="36"/>
        <v>26012.903225806454</v>
      </c>
      <c r="AL89" s="45">
        <f t="shared" si="37"/>
        <v>26772.311612903231</v>
      </c>
      <c r="AM89" s="45">
        <f t="shared" si="38"/>
        <v>-759.40838709677701</v>
      </c>
      <c r="AN89" s="23">
        <f t="shared" si="39"/>
        <v>1.5035273368606701</v>
      </c>
      <c r="AP89" s="20" t="e">
        <f>IF(AH89/S89&lt;#REF!,AH89,0)</f>
        <v>#REF!</v>
      </c>
      <c r="AQ89" s="11" t="e">
        <f>IF(AP89&gt;0,(#REF!*S89-AP89)*AE89/1000*1.302*4,0)</f>
        <v>#REF!</v>
      </c>
    </row>
    <row r="90" spans="1:43" x14ac:dyDescent="0.25">
      <c r="A90" s="8" t="s">
        <v>27</v>
      </c>
      <c r="B90" s="30" t="s">
        <v>350</v>
      </c>
      <c r="C90" s="8">
        <v>412</v>
      </c>
      <c r="D90" s="8">
        <v>481</v>
      </c>
      <c r="E90" s="8">
        <v>114</v>
      </c>
      <c r="F90" s="8">
        <f t="shared" si="22"/>
        <v>1007</v>
      </c>
      <c r="G90" s="8">
        <v>3</v>
      </c>
      <c r="H90" s="8">
        <v>2</v>
      </c>
      <c r="J90" s="8">
        <f t="shared" si="23"/>
        <v>5</v>
      </c>
      <c r="K90" s="8">
        <v>8</v>
      </c>
      <c r="L90" s="8">
        <v>3</v>
      </c>
      <c r="M90" s="8">
        <v>1</v>
      </c>
      <c r="N90" s="8">
        <f t="shared" si="24"/>
        <v>12</v>
      </c>
      <c r="O90" s="8">
        <v>18</v>
      </c>
      <c r="P90" s="8">
        <v>20</v>
      </c>
      <c r="Q90" s="8">
        <v>5</v>
      </c>
      <c r="R90" s="8">
        <f t="shared" si="25"/>
        <v>43</v>
      </c>
      <c r="S90" s="31">
        <v>1.5</v>
      </c>
      <c r="T90" s="30">
        <v>1.25</v>
      </c>
      <c r="U90" s="66">
        <f>IF(A90='Свод по районам'!$A$15,'Свод по районам'!$G$15,0)</f>
        <v>1.3307859775790485</v>
      </c>
      <c r="V90" s="30">
        <f t="shared" si="40"/>
        <v>3116.6</v>
      </c>
      <c r="W90" s="12">
        <f t="shared" si="41"/>
        <v>2804.9400000000005</v>
      </c>
      <c r="X90" s="11">
        <v>2127.81675</v>
      </c>
      <c r="Y90" s="17">
        <f t="shared" si="26"/>
        <v>988.78324999999995</v>
      </c>
      <c r="Z90" s="17">
        <f t="shared" si="27"/>
        <v>988.78324999999995</v>
      </c>
      <c r="AA90" s="17">
        <f t="shared" si="28"/>
        <v>0</v>
      </c>
      <c r="AB90" s="20">
        <f t="shared" si="29"/>
        <v>677.12325000000055</v>
      </c>
      <c r="AC90" s="17">
        <f t="shared" si="30"/>
        <v>677.12325000000055</v>
      </c>
      <c r="AD90" s="17">
        <f t="shared" si="31"/>
        <v>0</v>
      </c>
      <c r="AE90" s="8">
        <v>65.900000000000006</v>
      </c>
      <c r="AF90" s="28">
        <f t="shared" si="32"/>
        <v>47292.867981790587</v>
      </c>
      <c r="AG90" s="28">
        <f t="shared" si="42"/>
        <v>42563.581183611539</v>
      </c>
      <c r="AH90" s="28">
        <f t="shared" si="33"/>
        <v>32288.56980273141</v>
      </c>
      <c r="AI90" s="42">
        <f t="shared" si="34"/>
        <v>15004.298179059177</v>
      </c>
      <c r="AJ90" s="44">
        <f t="shared" si="35"/>
        <v>73.222222222222214</v>
      </c>
      <c r="AK90" s="45">
        <f t="shared" si="36"/>
        <v>42563.581183611539</v>
      </c>
      <c r="AL90" s="45">
        <f t="shared" si="37"/>
        <v>29059.712822458274</v>
      </c>
      <c r="AM90" s="45">
        <f t="shared" si="38"/>
        <v>13503.868361153265</v>
      </c>
      <c r="AN90" s="23">
        <f t="shared" si="39"/>
        <v>1.1111111111111109</v>
      </c>
      <c r="AP90" s="20" t="e">
        <f>IF(AH90/S90&lt;#REF!,AH90,0)</f>
        <v>#REF!</v>
      </c>
      <c r="AQ90" s="11" t="e">
        <f>IF(AP90&gt;0,(#REF!*S90-AP90)*AE90/1000*1.302*4,0)</f>
        <v>#REF!</v>
      </c>
    </row>
    <row r="91" spans="1:43" x14ac:dyDescent="0.25">
      <c r="A91" s="8" t="s">
        <v>27</v>
      </c>
      <c r="B91" s="30" t="s">
        <v>349</v>
      </c>
      <c r="C91" s="8">
        <v>112</v>
      </c>
      <c r="D91" s="8">
        <v>137</v>
      </c>
      <c r="E91" s="8">
        <v>22</v>
      </c>
      <c r="F91" s="8">
        <f t="shared" si="22"/>
        <v>271</v>
      </c>
      <c r="J91" s="8">
        <f t="shared" si="23"/>
        <v>0</v>
      </c>
      <c r="K91" s="8">
        <v>0</v>
      </c>
      <c r="L91" s="8">
        <v>1</v>
      </c>
      <c r="M91" s="8">
        <v>1</v>
      </c>
      <c r="N91" s="8">
        <f t="shared" si="24"/>
        <v>2</v>
      </c>
      <c r="O91" s="8">
        <v>4</v>
      </c>
      <c r="P91" s="8">
        <v>5</v>
      </c>
      <c r="Q91" s="8">
        <v>2</v>
      </c>
      <c r="R91" s="8">
        <f t="shared" si="25"/>
        <v>11</v>
      </c>
      <c r="S91" s="31">
        <v>1.5</v>
      </c>
      <c r="T91" s="30">
        <v>1.25</v>
      </c>
      <c r="U91" s="66">
        <f>IF(A91='Свод по районам'!$A$15,'Свод по районам'!$G$15,0)</f>
        <v>1.3307859775790485</v>
      </c>
      <c r="V91" s="30">
        <f t="shared" si="40"/>
        <v>807.1</v>
      </c>
      <c r="W91" s="12">
        <f t="shared" si="41"/>
        <v>815.82540540540538</v>
      </c>
      <c r="X91" s="11">
        <v>467.27280999999999</v>
      </c>
      <c r="Y91" s="17">
        <f t="shared" si="26"/>
        <v>339.82719000000003</v>
      </c>
      <c r="Z91" s="17">
        <f t="shared" si="27"/>
        <v>339.82719000000003</v>
      </c>
      <c r="AA91" s="17">
        <f t="shared" si="28"/>
        <v>0</v>
      </c>
      <c r="AB91" s="20">
        <f t="shared" si="29"/>
        <v>348.55259540540538</v>
      </c>
      <c r="AC91" s="17">
        <f t="shared" si="30"/>
        <v>348.55259540540538</v>
      </c>
      <c r="AD91" s="17">
        <f t="shared" si="31"/>
        <v>0</v>
      </c>
      <c r="AE91" s="8">
        <v>18.7</v>
      </c>
      <c r="AF91" s="28">
        <f t="shared" si="32"/>
        <v>43160.427807486638</v>
      </c>
      <c r="AG91" s="28">
        <f t="shared" si="42"/>
        <v>43627.027027027027</v>
      </c>
      <c r="AH91" s="28">
        <f t="shared" si="33"/>
        <v>24987.850802139041</v>
      </c>
      <c r="AI91" s="42">
        <f t="shared" si="34"/>
        <v>18172.577005347597</v>
      </c>
      <c r="AJ91" s="44">
        <f t="shared" si="35"/>
        <v>18.5</v>
      </c>
      <c r="AK91" s="45">
        <f t="shared" si="36"/>
        <v>43627.027027027027</v>
      </c>
      <c r="AL91" s="45">
        <f t="shared" si="37"/>
        <v>25257.989729729728</v>
      </c>
      <c r="AM91" s="45">
        <f t="shared" si="38"/>
        <v>18369.037297297298</v>
      </c>
      <c r="AN91" s="23">
        <f t="shared" si="39"/>
        <v>0.98930481283422467</v>
      </c>
      <c r="AP91" s="20" t="e">
        <f>IF(AH91/S91&lt;#REF!,AH91,0)</f>
        <v>#REF!</v>
      </c>
      <c r="AQ91" s="11" t="e">
        <f>IF(AP91&gt;0,(#REF!*S91-AP91)*AE91/1000*1.302*4,0)</f>
        <v>#REF!</v>
      </c>
    </row>
    <row r="92" spans="1:43" x14ac:dyDescent="0.25">
      <c r="A92" s="8" t="s">
        <v>27</v>
      </c>
      <c r="B92" s="30" t="s">
        <v>351</v>
      </c>
      <c r="C92" s="8">
        <v>82</v>
      </c>
      <c r="D92" s="8">
        <v>108</v>
      </c>
      <c r="E92" s="8">
        <v>15</v>
      </c>
      <c r="F92" s="8">
        <f t="shared" si="22"/>
        <v>205</v>
      </c>
      <c r="H92" s="8">
        <v>1</v>
      </c>
      <c r="J92" s="8">
        <f t="shared" si="23"/>
        <v>1</v>
      </c>
      <c r="K92" s="8">
        <v>2</v>
      </c>
      <c r="L92" s="8">
        <v>2</v>
      </c>
      <c r="M92" s="8">
        <v>1</v>
      </c>
      <c r="N92" s="8">
        <f t="shared" si="24"/>
        <v>5</v>
      </c>
      <c r="O92" s="8">
        <v>5</v>
      </c>
      <c r="P92" s="8">
        <v>6</v>
      </c>
      <c r="Q92" s="8">
        <v>2</v>
      </c>
      <c r="R92" s="8">
        <f t="shared" si="25"/>
        <v>13</v>
      </c>
      <c r="S92" s="31">
        <v>1.5</v>
      </c>
      <c r="T92" s="30">
        <v>1.25</v>
      </c>
      <c r="U92" s="66">
        <f>IF(A92='Свод по районам'!$A$15,'Свод по районам'!$G$15,0)</f>
        <v>1.3307859775790485</v>
      </c>
      <c r="V92" s="30">
        <f t="shared" si="40"/>
        <v>625</v>
      </c>
      <c r="W92" s="12">
        <f t="shared" si="41"/>
        <v>446.07231920199507</v>
      </c>
      <c r="X92" s="11">
        <v>537.54610999999989</v>
      </c>
      <c r="Y92" s="17">
        <f t="shared" si="26"/>
        <v>87.453890000000115</v>
      </c>
      <c r="Z92" s="17">
        <f t="shared" si="27"/>
        <v>87.453890000000115</v>
      </c>
      <c r="AA92" s="17">
        <f t="shared" si="28"/>
        <v>0</v>
      </c>
      <c r="AB92" s="20">
        <f t="shared" si="29"/>
        <v>-91.473790798004813</v>
      </c>
      <c r="AC92" s="17">
        <f t="shared" si="30"/>
        <v>0</v>
      </c>
      <c r="AD92" s="17">
        <f t="shared" si="31"/>
        <v>-91.473790798004813</v>
      </c>
      <c r="AE92" s="8">
        <v>15.9</v>
      </c>
      <c r="AF92" s="28">
        <f t="shared" si="32"/>
        <v>39308.176100628923</v>
      </c>
      <c r="AG92" s="28">
        <f t="shared" si="42"/>
        <v>28054.86284289277</v>
      </c>
      <c r="AH92" s="28">
        <f t="shared" si="33"/>
        <v>33807.931446540868</v>
      </c>
      <c r="AI92" s="42">
        <f t="shared" si="34"/>
        <v>5500.2446540880555</v>
      </c>
      <c r="AJ92" s="44">
        <f t="shared" si="35"/>
        <v>22.277777777777775</v>
      </c>
      <c r="AK92" s="45">
        <f t="shared" si="36"/>
        <v>28054.86284289277</v>
      </c>
      <c r="AL92" s="45">
        <f t="shared" si="37"/>
        <v>24129.251820448873</v>
      </c>
      <c r="AM92" s="45">
        <f t="shared" si="38"/>
        <v>3925.6110224438962</v>
      </c>
      <c r="AN92" s="23">
        <f t="shared" si="39"/>
        <v>1.4011180992313066</v>
      </c>
      <c r="AP92" s="20" t="e">
        <f>IF(AH92/S92&lt;#REF!,AH92,0)</f>
        <v>#REF!</v>
      </c>
      <c r="AQ92" s="11" t="e">
        <f>IF(AP92&gt;0,(#REF!*S92-AP92)*AE92/1000*1.302*4,0)</f>
        <v>#REF!</v>
      </c>
    </row>
    <row r="93" spans="1:43" x14ac:dyDescent="0.25">
      <c r="A93" s="8" t="s">
        <v>27</v>
      </c>
      <c r="B93" s="30" t="s">
        <v>352</v>
      </c>
      <c r="C93" s="8">
        <v>69</v>
      </c>
      <c r="D93" s="8">
        <v>53</v>
      </c>
      <c r="E93" s="8">
        <v>15</v>
      </c>
      <c r="F93" s="8">
        <f t="shared" si="22"/>
        <v>137</v>
      </c>
      <c r="G93" s="8">
        <v>1</v>
      </c>
      <c r="H93" s="8">
        <v>3</v>
      </c>
      <c r="J93" s="8">
        <f t="shared" si="23"/>
        <v>4</v>
      </c>
      <c r="K93" s="8">
        <v>0</v>
      </c>
      <c r="L93" s="8">
        <v>0</v>
      </c>
      <c r="M93" s="8">
        <v>0</v>
      </c>
      <c r="N93" s="8">
        <f t="shared" si="24"/>
        <v>0</v>
      </c>
      <c r="O93" s="8">
        <v>4</v>
      </c>
      <c r="P93" s="8">
        <v>5</v>
      </c>
      <c r="Q93" s="8">
        <v>2</v>
      </c>
      <c r="R93" s="8">
        <f t="shared" si="25"/>
        <v>11</v>
      </c>
      <c r="S93" s="31">
        <v>1.5</v>
      </c>
      <c r="T93" s="30">
        <v>1.25</v>
      </c>
      <c r="U93" s="66">
        <f>IF(A93='Свод по районам'!$A$15,'Свод по районам'!$G$15,0)</f>
        <v>1.3307859775790485</v>
      </c>
      <c r="V93" s="30">
        <f t="shared" si="40"/>
        <v>448.2</v>
      </c>
      <c r="W93" s="12">
        <f t="shared" si="41"/>
        <v>301.99572192513369</v>
      </c>
      <c r="X93" s="11">
        <v>382.51533000000001</v>
      </c>
      <c r="Y93" s="17">
        <f t="shared" si="26"/>
        <v>65.684669999999983</v>
      </c>
      <c r="Z93" s="17">
        <f t="shared" si="27"/>
        <v>65.684669999999983</v>
      </c>
      <c r="AA93" s="17">
        <f t="shared" si="28"/>
        <v>0</v>
      </c>
      <c r="AB93" s="20">
        <f t="shared" si="29"/>
        <v>-80.519608074866312</v>
      </c>
      <c r="AC93" s="17">
        <f t="shared" si="30"/>
        <v>0</v>
      </c>
      <c r="AD93" s="17">
        <f t="shared" si="31"/>
        <v>-80.519608074866312</v>
      </c>
      <c r="AE93" s="8">
        <v>14</v>
      </c>
      <c r="AF93" s="28">
        <f t="shared" si="32"/>
        <v>32014.285714285714</v>
      </c>
      <c r="AG93" s="28">
        <f t="shared" si="42"/>
        <v>21571.122994652407</v>
      </c>
      <c r="AH93" s="28">
        <f t="shared" si="33"/>
        <v>27322.523571428574</v>
      </c>
      <c r="AI93" s="42">
        <f t="shared" si="34"/>
        <v>4691.7621428571401</v>
      </c>
      <c r="AJ93" s="44">
        <f t="shared" si="35"/>
        <v>20.777777777777779</v>
      </c>
      <c r="AK93" s="45">
        <f t="shared" si="36"/>
        <v>21571.122994652407</v>
      </c>
      <c r="AL93" s="45">
        <f t="shared" si="37"/>
        <v>18409.82871657754</v>
      </c>
      <c r="AM93" s="45">
        <f t="shared" si="38"/>
        <v>3161.2942780748672</v>
      </c>
      <c r="AN93" s="23">
        <f t="shared" si="39"/>
        <v>1.4841269841269842</v>
      </c>
      <c r="AP93" s="20" t="e">
        <f>IF(AH93/S93&lt;#REF!,AH93,0)</f>
        <v>#REF!</v>
      </c>
      <c r="AQ93" s="11" t="e">
        <f>IF(AP93&gt;0,(#REF!*S93-AP93)*AE93/1000*1.302*4,0)</f>
        <v>#REF!</v>
      </c>
    </row>
    <row r="94" spans="1:43" x14ac:dyDescent="0.25">
      <c r="A94" s="8" t="s">
        <v>28</v>
      </c>
      <c r="B94" s="30" t="s">
        <v>354</v>
      </c>
      <c r="C94" s="8">
        <v>324</v>
      </c>
      <c r="D94" s="8">
        <v>349</v>
      </c>
      <c r="E94" s="8">
        <v>85</v>
      </c>
      <c r="F94" s="8">
        <f t="shared" si="22"/>
        <v>758</v>
      </c>
      <c r="G94" s="8">
        <v>2</v>
      </c>
      <c r="H94" s="8">
        <v>5</v>
      </c>
      <c r="I94" s="8">
        <v>2</v>
      </c>
      <c r="J94" s="8">
        <f t="shared" si="23"/>
        <v>9</v>
      </c>
      <c r="K94" s="8">
        <v>12</v>
      </c>
      <c r="L94" s="8">
        <v>5</v>
      </c>
      <c r="M94" s="8">
        <v>5</v>
      </c>
      <c r="N94" s="8">
        <f t="shared" si="24"/>
        <v>22</v>
      </c>
      <c r="O94" s="8">
        <v>12</v>
      </c>
      <c r="P94" s="8">
        <v>14</v>
      </c>
      <c r="Q94" s="8">
        <v>4</v>
      </c>
      <c r="R94" s="8">
        <f t="shared" si="25"/>
        <v>30</v>
      </c>
      <c r="S94" s="31">
        <v>1.8</v>
      </c>
      <c r="T94" s="30">
        <v>1.25</v>
      </c>
      <c r="U94" s="66">
        <f>IF(A94='Свод по районам'!$A$16,'Свод по районам'!$G$16,0)</f>
        <v>1.65110517196562</v>
      </c>
      <c r="V94" s="30">
        <f t="shared" si="40"/>
        <v>2884.9</v>
      </c>
      <c r="W94" s="12">
        <f t="shared" si="41"/>
        <v>2362.7593528816988</v>
      </c>
      <c r="X94" s="11">
        <v>1882.90915</v>
      </c>
      <c r="Y94" s="17">
        <f t="shared" si="26"/>
        <v>1001.9908500000001</v>
      </c>
      <c r="Z94" s="17">
        <f t="shared" si="27"/>
        <v>1001.9908500000001</v>
      </c>
      <c r="AA94" s="17">
        <f t="shared" si="28"/>
        <v>0</v>
      </c>
      <c r="AB94" s="20">
        <f t="shared" si="29"/>
        <v>479.85020288169881</v>
      </c>
      <c r="AC94" s="17">
        <f t="shared" si="30"/>
        <v>479.85020288169881</v>
      </c>
      <c r="AD94" s="17">
        <f t="shared" si="31"/>
        <v>0</v>
      </c>
      <c r="AE94" s="8">
        <v>45</v>
      </c>
      <c r="AF94" s="28">
        <f t="shared" si="32"/>
        <v>64108.888888888883</v>
      </c>
      <c r="AG94" s="28">
        <f t="shared" si="42"/>
        <v>52505.763397371084</v>
      </c>
      <c r="AH94" s="28">
        <f t="shared" si="33"/>
        <v>41842.425555555557</v>
      </c>
      <c r="AI94" s="42">
        <f t="shared" si="34"/>
        <v>22266.463333333326</v>
      </c>
      <c r="AJ94" s="44">
        <f t="shared" si="35"/>
        <v>54.944444444444443</v>
      </c>
      <c r="AK94" s="45">
        <f t="shared" si="36"/>
        <v>52505.763397371084</v>
      </c>
      <c r="AL94" s="45">
        <f t="shared" si="37"/>
        <v>34269.327300303339</v>
      </c>
      <c r="AM94" s="45">
        <f t="shared" si="38"/>
        <v>18236.436097067744</v>
      </c>
      <c r="AN94" s="23">
        <f t="shared" si="39"/>
        <v>1.2209876543209877</v>
      </c>
      <c r="AP94" s="20" t="e">
        <f>IF(AH94/S94&lt;#REF!,AH94,0)</f>
        <v>#REF!</v>
      </c>
      <c r="AQ94" s="11" t="e">
        <f>IF(AP94&gt;0,(#REF!*S94-AP94)*AE94/1000*1.302*4,0)</f>
        <v>#REF!</v>
      </c>
    </row>
    <row r="95" spans="1:43" x14ac:dyDescent="0.25">
      <c r="A95" s="8" t="s">
        <v>28</v>
      </c>
      <c r="B95" s="30" t="s">
        <v>355</v>
      </c>
      <c r="C95" s="8">
        <v>177</v>
      </c>
      <c r="D95" s="8">
        <v>189</v>
      </c>
      <c r="E95" s="8">
        <v>32</v>
      </c>
      <c r="F95" s="8">
        <f t="shared" si="22"/>
        <v>398</v>
      </c>
      <c r="G95" s="8">
        <v>2</v>
      </c>
      <c r="H95" s="8">
        <v>3</v>
      </c>
      <c r="J95" s="8">
        <f t="shared" si="23"/>
        <v>5</v>
      </c>
      <c r="K95" s="8">
        <v>8</v>
      </c>
      <c r="L95" s="8">
        <v>4</v>
      </c>
      <c r="M95" s="8">
        <v>0</v>
      </c>
      <c r="N95" s="8">
        <f t="shared" si="24"/>
        <v>12</v>
      </c>
      <c r="O95" s="8">
        <v>8</v>
      </c>
      <c r="P95" s="8">
        <v>9</v>
      </c>
      <c r="Q95" s="8">
        <v>2</v>
      </c>
      <c r="R95" s="8">
        <f t="shared" si="25"/>
        <v>19</v>
      </c>
      <c r="S95" s="31">
        <v>1.8</v>
      </c>
      <c r="T95" s="30">
        <v>1.25</v>
      </c>
      <c r="U95" s="66">
        <f>IF(A95='Свод по районам'!$A$16,'Свод по районам'!$G$16,0)</f>
        <v>1.65110517196562</v>
      </c>
      <c r="V95" s="30">
        <f t="shared" si="40"/>
        <v>1478.1</v>
      </c>
      <c r="W95" s="12">
        <f t="shared" si="41"/>
        <v>1059.870393442623</v>
      </c>
      <c r="X95" s="11">
        <v>964.8583799999999</v>
      </c>
      <c r="Y95" s="17">
        <f t="shared" si="26"/>
        <v>513.24162000000001</v>
      </c>
      <c r="Z95" s="17">
        <f t="shared" si="27"/>
        <v>513.24162000000001</v>
      </c>
      <c r="AA95" s="17">
        <f t="shared" si="28"/>
        <v>0</v>
      </c>
      <c r="AB95" s="20">
        <f t="shared" si="29"/>
        <v>95.012013442623129</v>
      </c>
      <c r="AC95" s="17">
        <f t="shared" si="30"/>
        <v>95.012013442623129</v>
      </c>
      <c r="AD95" s="17">
        <f t="shared" si="31"/>
        <v>0</v>
      </c>
      <c r="AE95" s="8">
        <v>24.3</v>
      </c>
      <c r="AF95" s="28">
        <f t="shared" si="32"/>
        <v>60827.160493827156</v>
      </c>
      <c r="AG95" s="28">
        <f t="shared" si="42"/>
        <v>43616.065573770495</v>
      </c>
      <c r="AH95" s="28">
        <f t="shared" si="33"/>
        <v>39706.1061728395</v>
      </c>
      <c r="AI95" s="42">
        <f t="shared" si="34"/>
        <v>21121.054320987656</v>
      </c>
      <c r="AJ95" s="44">
        <f t="shared" si="35"/>
        <v>33.888888888888886</v>
      </c>
      <c r="AK95" s="45">
        <f t="shared" si="36"/>
        <v>43616.065573770495</v>
      </c>
      <c r="AL95" s="45">
        <f t="shared" si="37"/>
        <v>28471.230885245903</v>
      </c>
      <c r="AM95" s="45">
        <f t="shared" si="38"/>
        <v>15144.834688524592</v>
      </c>
      <c r="AN95" s="23">
        <f t="shared" si="39"/>
        <v>1.394604481024234</v>
      </c>
      <c r="AP95" s="20" t="e">
        <f>IF(AH95/S95&lt;#REF!,AH95,0)</f>
        <v>#REF!</v>
      </c>
      <c r="AQ95" s="11" t="e">
        <f>IF(AP95&gt;0,(#REF!*S95-AP95)*AE95/1000*1.302*4,0)</f>
        <v>#REF!</v>
      </c>
    </row>
    <row r="96" spans="1:43" x14ac:dyDescent="0.25">
      <c r="A96" s="8" t="s">
        <v>28</v>
      </c>
      <c r="B96" s="30" t="s">
        <v>353</v>
      </c>
      <c r="C96" s="8">
        <v>54</v>
      </c>
      <c r="D96" s="8">
        <v>63</v>
      </c>
      <c r="E96" s="8">
        <v>28</v>
      </c>
      <c r="F96" s="8">
        <f t="shared" si="22"/>
        <v>145</v>
      </c>
      <c r="G96" s="8">
        <v>1</v>
      </c>
      <c r="H96" s="8">
        <v>2</v>
      </c>
      <c r="J96" s="8">
        <f t="shared" si="23"/>
        <v>3</v>
      </c>
      <c r="K96" s="8">
        <v>2</v>
      </c>
      <c r="L96" s="8">
        <v>3</v>
      </c>
      <c r="M96" s="8">
        <v>0</v>
      </c>
      <c r="N96" s="8">
        <f t="shared" si="24"/>
        <v>5</v>
      </c>
      <c r="O96" s="8">
        <v>4</v>
      </c>
      <c r="P96" s="8">
        <v>5</v>
      </c>
      <c r="Q96" s="8">
        <v>2</v>
      </c>
      <c r="R96" s="8">
        <f t="shared" si="25"/>
        <v>11</v>
      </c>
      <c r="S96" s="31">
        <v>1.8</v>
      </c>
      <c r="T96" s="30">
        <v>1.25</v>
      </c>
      <c r="U96" s="66">
        <f>IF(A96='Свод по районам'!$A$16,'Свод по районам'!$G$16,0)</f>
        <v>1.65110517196562</v>
      </c>
      <c r="V96" s="30">
        <f t="shared" si="40"/>
        <v>605.4</v>
      </c>
      <c r="W96" s="12">
        <f t="shared" si="41"/>
        <v>417.2757024793388</v>
      </c>
      <c r="X96" s="11">
        <v>461.55652000000003</v>
      </c>
      <c r="Y96" s="17">
        <f t="shared" si="26"/>
        <v>143.84347999999994</v>
      </c>
      <c r="Z96" s="17">
        <f t="shared" si="27"/>
        <v>143.84347999999994</v>
      </c>
      <c r="AA96" s="17">
        <f t="shared" si="28"/>
        <v>0</v>
      </c>
      <c r="AB96" s="20">
        <f t="shared" si="29"/>
        <v>-44.28081752066123</v>
      </c>
      <c r="AC96" s="17">
        <f t="shared" si="30"/>
        <v>0</v>
      </c>
      <c r="AD96" s="17">
        <f t="shared" si="31"/>
        <v>-44.28081752066123</v>
      </c>
      <c r="AE96" s="8">
        <v>13.9</v>
      </c>
      <c r="AF96" s="28">
        <f t="shared" si="32"/>
        <v>43553.956834532371</v>
      </c>
      <c r="AG96" s="28">
        <f t="shared" si="42"/>
        <v>30019.834710743798</v>
      </c>
      <c r="AH96" s="28">
        <f t="shared" si="33"/>
        <v>33205.505035971219</v>
      </c>
      <c r="AI96" s="42">
        <f t="shared" si="34"/>
        <v>10348.451798561153</v>
      </c>
      <c r="AJ96" s="44">
        <f t="shared" si="35"/>
        <v>20.166666666666668</v>
      </c>
      <c r="AK96" s="45">
        <f t="shared" si="36"/>
        <v>30019.834710743798</v>
      </c>
      <c r="AL96" s="45">
        <f t="shared" si="37"/>
        <v>22887.100165289259</v>
      </c>
      <c r="AM96" s="45">
        <f t="shared" si="38"/>
        <v>7132.7345454545393</v>
      </c>
      <c r="AN96" s="23">
        <f t="shared" si="39"/>
        <v>1.4508393285371703</v>
      </c>
      <c r="AP96" s="20" t="e">
        <f>IF(AH96/S96&lt;#REF!,AH96,0)</f>
        <v>#REF!</v>
      </c>
      <c r="AQ96" s="11" t="e">
        <f>IF(AP96&gt;0,(#REF!*S96-AP96)*AE96/1000*1.302*4,0)</f>
        <v>#REF!</v>
      </c>
    </row>
    <row r="97" spans="1:43" x14ac:dyDescent="0.25">
      <c r="A97" s="8" t="s">
        <v>28</v>
      </c>
      <c r="B97" s="30" t="s">
        <v>357</v>
      </c>
      <c r="C97" s="8">
        <v>42</v>
      </c>
      <c r="D97" s="8">
        <v>64</v>
      </c>
      <c r="E97" s="8">
        <v>16</v>
      </c>
      <c r="F97" s="8">
        <f t="shared" si="22"/>
        <v>122</v>
      </c>
      <c r="G97" s="8">
        <v>1</v>
      </c>
      <c r="H97" s="8">
        <v>1</v>
      </c>
      <c r="J97" s="8">
        <f t="shared" si="23"/>
        <v>2</v>
      </c>
      <c r="K97" s="8">
        <v>2</v>
      </c>
      <c r="L97" s="8">
        <v>0</v>
      </c>
      <c r="M97" s="8">
        <v>0</v>
      </c>
      <c r="N97" s="8">
        <f t="shared" si="24"/>
        <v>2</v>
      </c>
      <c r="O97" s="8">
        <v>4</v>
      </c>
      <c r="P97" s="8">
        <v>5</v>
      </c>
      <c r="Q97" s="8">
        <v>2</v>
      </c>
      <c r="R97" s="8">
        <f t="shared" si="25"/>
        <v>11</v>
      </c>
      <c r="S97" s="31">
        <v>1.8</v>
      </c>
      <c r="T97" s="30">
        <v>1.25</v>
      </c>
      <c r="U97" s="66">
        <f>IF(A97='Свод по районам'!$A$16,'Свод по районам'!$G$16,0)</f>
        <v>1.65110517196562</v>
      </c>
      <c r="V97" s="30">
        <f t="shared" si="40"/>
        <v>487</v>
      </c>
      <c r="W97" s="12">
        <f t="shared" si="41"/>
        <v>328.72499999999997</v>
      </c>
      <c r="X97" s="11">
        <v>444.05031000000008</v>
      </c>
      <c r="Y97" s="17">
        <f t="shared" si="26"/>
        <v>42.949689999999919</v>
      </c>
      <c r="Z97" s="17">
        <f t="shared" si="27"/>
        <v>42.949689999999919</v>
      </c>
      <c r="AA97" s="17">
        <f t="shared" si="28"/>
        <v>0</v>
      </c>
      <c r="AB97" s="20">
        <f t="shared" si="29"/>
        <v>-115.32531000000012</v>
      </c>
      <c r="AC97" s="17">
        <f t="shared" si="30"/>
        <v>0</v>
      </c>
      <c r="AD97" s="17">
        <f t="shared" si="31"/>
        <v>-115.32531000000012</v>
      </c>
      <c r="AE97" s="8">
        <v>13.2</v>
      </c>
      <c r="AF97" s="28">
        <f t="shared" si="32"/>
        <v>36893.939393939399</v>
      </c>
      <c r="AG97" s="28">
        <f t="shared" si="42"/>
        <v>24903.409090909088</v>
      </c>
      <c r="AH97" s="28">
        <f t="shared" si="33"/>
        <v>33640.175000000003</v>
      </c>
      <c r="AI97" s="42">
        <f t="shared" si="34"/>
        <v>3253.7643939393965</v>
      </c>
      <c r="AJ97" s="44">
        <f t="shared" si="35"/>
        <v>19.555555555555557</v>
      </c>
      <c r="AK97" s="45">
        <f t="shared" si="36"/>
        <v>24903.409090909088</v>
      </c>
      <c r="AL97" s="45">
        <f t="shared" si="37"/>
        <v>22707.118125000001</v>
      </c>
      <c r="AM97" s="45">
        <f t="shared" si="38"/>
        <v>2196.2909659090874</v>
      </c>
      <c r="AN97" s="23">
        <f t="shared" si="39"/>
        <v>1.4814814814814816</v>
      </c>
      <c r="AP97" s="20" t="e">
        <f>IF(AH97/S97&lt;#REF!,AH97,0)</f>
        <v>#REF!</v>
      </c>
      <c r="AQ97" s="11" t="e">
        <f>IF(AP97&gt;0,(#REF!*S97-AP97)*AE97/1000*1.302*4,0)</f>
        <v>#REF!</v>
      </c>
    </row>
    <row r="98" spans="1:43" x14ac:dyDescent="0.25">
      <c r="A98" s="8" t="s">
        <v>28</v>
      </c>
      <c r="B98" s="30" t="s">
        <v>356</v>
      </c>
      <c r="C98" s="8">
        <v>51</v>
      </c>
      <c r="D98" s="8">
        <v>57</v>
      </c>
      <c r="E98" s="8">
        <v>9</v>
      </c>
      <c r="F98" s="8">
        <f t="shared" si="22"/>
        <v>117</v>
      </c>
      <c r="G98" s="8">
        <v>1</v>
      </c>
      <c r="J98" s="8">
        <f t="shared" si="23"/>
        <v>1</v>
      </c>
      <c r="K98" s="8">
        <v>2</v>
      </c>
      <c r="L98" s="8">
        <v>3</v>
      </c>
      <c r="M98" s="8">
        <v>0</v>
      </c>
      <c r="N98" s="8">
        <f t="shared" si="24"/>
        <v>5</v>
      </c>
      <c r="O98" s="8">
        <v>4</v>
      </c>
      <c r="P98" s="8">
        <v>5</v>
      </c>
      <c r="Q98" s="8">
        <v>2</v>
      </c>
      <c r="R98" s="8">
        <f t="shared" si="25"/>
        <v>11</v>
      </c>
      <c r="S98" s="31">
        <v>1.8</v>
      </c>
      <c r="T98" s="30">
        <v>1.25</v>
      </c>
      <c r="U98" s="66">
        <f>IF(A98='Свод по районам'!$A$16,'Свод по районам'!$G$16,0)</f>
        <v>1.65110517196562</v>
      </c>
      <c r="V98" s="30">
        <f t="shared" si="40"/>
        <v>427.6</v>
      </c>
      <c r="W98" s="12">
        <f t="shared" si="41"/>
        <v>221.19835777126104</v>
      </c>
      <c r="X98" s="11">
        <v>445.46839</v>
      </c>
      <c r="Y98" s="17">
        <f t="shared" si="26"/>
        <v>-17.868389999999977</v>
      </c>
      <c r="Z98" s="17">
        <f t="shared" si="27"/>
        <v>0</v>
      </c>
      <c r="AA98" s="17">
        <f t="shared" si="28"/>
        <v>-17.868389999999977</v>
      </c>
      <c r="AB98" s="20">
        <f t="shared" si="29"/>
        <v>-224.27003222873896</v>
      </c>
      <c r="AC98" s="17">
        <f t="shared" si="30"/>
        <v>0</v>
      </c>
      <c r="AD98" s="17">
        <f t="shared" si="31"/>
        <v>-224.27003222873896</v>
      </c>
      <c r="AE98" s="8">
        <v>9.8000000000000007</v>
      </c>
      <c r="AF98" s="28">
        <f t="shared" si="32"/>
        <v>43632.65306122449</v>
      </c>
      <c r="AG98" s="28">
        <f>W98/AE98*1000</f>
        <v>22571.260997067453</v>
      </c>
      <c r="AH98" s="28">
        <f t="shared" si="33"/>
        <v>45455.958163265299</v>
      </c>
      <c r="AI98" s="42">
        <f t="shared" si="34"/>
        <v>-1823.3051020408093</v>
      </c>
      <c r="AJ98" s="44">
        <f t="shared" si="35"/>
        <v>18.944444444444443</v>
      </c>
      <c r="AK98" s="45">
        <f t="shared" si="36"/>
        <v>22571.260997067453</v>
      </c>
      <c r="AL98" s="45">
        <f t="shared" si="37"/>
        <v>23514.460469208214</v>
      </c>
      <c r="AM98" s="45">
        <f t="shared" si="38"/>
        <v>-943.19947214076092</v>
      </c>
      <c r="AN98" s="23">
        <f t="shared" si="39"/>
        <v>1.9331065759637185</v>
      </c>
      <c r="AP98" s="20" t="e">
        <f>IF(AH98/S98&lt;#REF!,AH98,0)</f>
        <v>#REF!</v>
      </c>
      <c r="AQ98" s="11" t="e">
        <f>IF(AP98&gt;0,(#REF!*S98-AP98)*AE98/1000*1.302*4,0)</f>
        <v>#REF!</v>
      </c>
    </row>
    <row r="99" spans="1:43" x14ac:dyDescent="0.25">
      <c r="A99" s="8" t="s">
        <v>29</v>
      </c>
      <c r="B99" s="30" t="s">
        <v>367</v>
      </c>
      <c r="C99" s="8">
        <v>443</v>
      </c>
      <c r="D99" s="8">
        <v>438</v>
      </c>
      <c r="E99" s="8">
        <v>47</v>
      </c>
      <c r="F99" s="8">
        <f t="shared" si="22"/>
        <v>928</v>
      </c>
      <c r="G99" s="8">
        <v>5</v>
      </c>
      <c r="H99" s="8">
        <v>2</v>
      </c>
      <c r="J99" s="8">
        <f t="shared" si="23"/>
        <v>7</v>
      </c>
      <c r="K99" s="8">
        <v>13</v>
      </c>
      <c r="L99" s="8">
        <v>4</v>
      </c>
      <c r="M99" s="8">
        <v>0</v>
      </c>
      <c r="N99" s="8">
        <f t="shared" si="24"/>
        <v>17</v>
      </c>
      <c r="O99" s="8">
        <v>15</v>
      </c>
      <c r="P99" s="8">
        <v>17</v>
      </c>
      <c r="Q99" s="8">
        <v>3</v>
      </c>
      <c r="R99" s="8">
        <f t="shared" si="25"/>
        <v>35</v>
      </c>
      <c r="S99" s="31">
        <v>1.5</v>
      </c>
      <c r="T99" s="30">
        <v>1</v>
      </c>
      <c r="U99" s="66">
        <f>IF(A99='Свод по районам'!$A$17,'Свод по районам'!$G$17,0)</f>
        <v>1.5018371918905604</v>
      </c>
      <c r="V99" s="30">
        <f t="shared" si="40"/>
        <v>2178.6</v>
      </c>
      <c r="W99" s="12">
        <f t="shared" si="41"/>
        <v>1739.6849862511456</v>
      </c>
      <c r="X99" s="11">
        <v>1166.6517800000001</v>
      </c>
      <c r="Y99" s="17">
        <f t="shared" si="26"/>
        <v>1011.9482199999998</v>
      </c>
      <c r="Z99" s="17">
        <f t="shared" si="27"/>
        <v>1011.9482199999998</v>
      </c>
      <c r="AA99" s="17">
        <f t="shared" si="28"/>
        <v>0</v>
      </c>
      <c r="AB99" s="20">
        <f t="shared" si="29"/>
        <v>573.03320625114543</v>
      </c>
      <c r="AC99" s="17">
        <f t="shared" si="30"/>
        <v>573.03320625114543</v>
      </c>
      <c r="AD99" s="17">
        <f t="shared" si="31"/>
        <v>0</v>
      </c>
      <c r="AE99" s="8">
        <v>48.4</v>
      </c>
      <c r="AF99" s="28">
        <f t="shared" si="32"/>
        <v>45012.396694214876</v>
      </c>
      <c r="AG99" s="28">
        <f t="shared" si="42"/>
        <v>35943.904674610443</v>
      </c>
      <c r="AH99" s="28">
        <f t="shared" si="33"/>
        <v>24104.375619834715</v>
      </c>
      <c r="AI99" s="42">
        <f t="shared" si="34"/>
        <v>20908.021074380162</v>
      </c>
      <c r="AJ99" s="44">
        <f t="shared" si="35"/>
        <v>60.611111111111107</v>
      </c>
      <c r="AK99" s="45">
        <f t="shared" si="36"/>
        <v>35943.90467461045</v>
      </c>
      <c r="AL99" s="45">
        <f t="shared" si="37"/>
        <v>19248.150357470215</v>
      </c>
      <c r="AM99" s="45">
        <f t="shared" si="38"/>
        <v>16695.754317140236</v>
      </c>
      <c r="AN99" s="23">
        <f t="shared" si="39"/>
        <v>1.2522956841138659</v>
      </c>
      <c r="AP99" s="20" t="e">
        <f>IF(AH99/S99&lt;#REF!,AH99,0)</f>
        <v>#REF!</v>
      </c>
      <c r="AQ99" s="11" t="e">
        <f>IF(AP99&gt;0,(#REF!*S99-AP99)*AE99/1000*1.302*4,0)</f>
        <v>#REF!</v>
      </c>
    </row>
    <row r="100" spans="1:43" x14ac:dyDescent="0.25">
      <c r="A100" s="8" t="s">
        <v>29</v>
      </c>
      <c r="B100" s="30" t="s">
        <v>369</v>
      </c>
      <c r="C100" s="8">
        <v>339</v>
      </c>
      <c r="D100" s="8">
        <v>380</v>
      </c>
      <c r="E100" s="8">
        <v>81</v>
      </c>
      <c r="F100" s="8">
        <f t="shared" si="22"/>
        <v>800</v>
      </c>
      <c r="G100" s="8">
        <v>3</v>
      </c>
      <c r="J100" s="8">
        <f t="shared" si="23"/>
        <v>3</v>
      </c>
      <c r="K100" s="8">
        <v>9</v>
      </c>
      <c r="L100" s="8">
        <v>3</v>
      </c>
      <c r="M100" s="8">
        <v>2</v>
      </c>
      <c r="N100" s="8">
        <f t="shared" si="24"/>
        <v>14</v>
      </c>
      <c r="O100" s="8">
        <v>12</v>
      </c>
      <c r="P100" s="8">
        <v>14</v>
      </c>
      <c r="Q100" s="8">
        <v>4</v>
      </c>
      <c r="R100" s="8">
        <f t="shared" si="25"/>
        <v>30</v>
      </c>
      <c r="S100" s="31">
        <v>1.5</v>
      </c>
      <c r="T100" s="30">
        <v>1</v>
      </c>
      <c r="U100" s="66">
        <f>IF(A100='Свод по районам'!$A$17,'Свод по районам'!$G$17,0)</f>
        <v>1.5018371918905604</v>
      </c>
      <c r="V100" s="30">
        <f t="shared" si="40"/>
        <v>1947.6</v>
      </c>
      <c r="W100" s="12">
        <f t="shared" si="41"/>
        <v>1260.2117647058824</v>
      </c>
      <c r="X100" s="11">
        <v>989.75475999999992</v>
      </c>
      <c r="Y100" s="17">
        <f t="shared" si="26"/>
        <v>957.84523999999999</v>
      </c>
      <c r="Z100" s="17">
        <f t="shared" si="27"/>
        <v>957.84523999999999</v>
      </c>
      <c r="AA100" s="17">
        <f t="shared" si="28"/>
        <v>0</v>
      </c>
      <c r="AB100" s="20">
        <f t="shared" si="29"/>
        <v>270.45700470588247</v>
      </c>
      <c r="AC100" s="17">
        <f t="shared" si="30"/>
        <v>270.45700470588247</v>
      </c>
      <c r="AD100" s="17">
        <f t="shared" si="31"/>
        <v>0</v>
      </c>
      <c r="AE100" s="8">
        <v>33</v>
      </c>
      <c r="AF100" s="28">
        <f t="shared" si="32"/>
        <v>59018.181818181816</v>
      </c>
      <c r="AG100" s="28">
        <f t="shared" si="42"/>
        <v>38188.235294117643</v>
      </c>
      <c r="AH100" s="28">
        <f t="shared" si="33"/>
        <v>29992.568484848485</v>
      </c>
      <c r="AI100" s="42">
        <f t="shared" si="34"/>
        <v>29025.613333333331</v>
      </c>
      <c r="AJ100" s="44">
        <f t="shared" si="35"/>
        <v>51</v>
      </c>
      <c r="AK100" s="45">
        <f t="shared" si="36"/>
        <v>38188.235294117643</v>
      </c>
      <c r="AL100" s="45">
        <f t="shared" si="37"/>
        <v>19406.956078431373</v>
      </c>
      <c r="AM100" s="45">
        <f t="shared" si="38"/>
        <v>18781.279215686271</v>
      </c>
      <c r="AN100" s="23">
        <f t="shared" si="39"/>
        <v>1.5454545454545454</v>
      </c>
      <c r="AP100" s="20" t="e">
        <f>IF(AH100/S100&lt;#REF!,AH100,0)</f>
        <v>#REF!</v>
      </c>
      <c r="AQ100" s="11" t="e">
        <f>IF(AP100&gt;0,(#REF!*S100-AP100)*AE100/1000*1.302*4,0)</f>
        <v>#REF!</v>
      </c>
    </row>
    <row r="101" spans="1:43" x14ac:dyDescent="0.25">
      <c r="A101" s="8" t="s">
        <v>29</v>
      </c>
      <c r="B101" s="30" t="s">
        <v>368</v>
      </c>
      <c r="C101" s="8">
        <v>337</v>
      </c>
      <c r="D101" s="8">
        <v>317</v>
      </c>
      <c r="E101" s="8">
        <v>68</v>
      </c>
      <c r="F101" s="8">
        <f t="shared" si="22"/>
        <v>722</v>
      </c>
      <c r="G101" s="8">
        <v>1</v>
      </c>
      <c r="H101" s="8">
        <v>1</v>
      </c>
      <c r="J101" s="8">
        <f t="shared" si="23"/>
        <v>2</v>
      </c>
      <c r="K101" s="8">
        <v>8</v>
      </c>
      <c r="L101" s="8">
        <v>3</v>
      </c>
      <c r="M101" s="8">
        <v>0</v>
      </c>
      <c r="N101" s="8">
        <f t="shared" si="24"/>
        <v>11</v>
      </c>
      <c r="O101" s="8">
        <v>12</v>
      </c>
      <c r="P101" s="8">
        <v>12</v>
      </c>
      <c r="Q101" s="8">
        <v>3</v>
      </c>
      <c r="R101" s="8">
        <f t="shared" si="25"/>
        <v>27</v>
      </c>
      <c r="S101" s="31">
        <v>1.5</v>
      </c>
      <c r="T101" s="30">
        <v>1</v>
      </c>
      <c r="U101" s="66">
        <f>IF(A101='Свод по районам'!$A$17,'Свод по районам'!$G$17,0)</f>
        <v>1.5018371918905604</v>
      </c>
      <c r="V101" s="30">
        <f t="shared" si="40"/>
        <v>1719.1</v>
      </c>
      <c r="W101" s="12">
        <f t="shared" si="41"/>
        <v>1266.7498890258939</v>
      </c>
      <c r="X101" s="11">
        <v>975.67529999999977</v>
      </c>
      <c r="Y101" s="17">
        <f t="shared" si="26"/>
        <v>743.42470000000014</v>
      </c>
      <c r="Z101" s="17">
        <f t="shared" si="27"/>
        <v>743.42470000000014</v>
      </c>
      <c r="AA101" s="17">
        <f t="shared" si="28"/>
        <v>0</v>
      </c>
      <c r="AB101" s="20">
        <f t="shared" si="29"/>
        <v>291.07458902589417</v>
      </c>
      <c r="AC101" s="17">
        <f t="shared" si="30"/>
        <v>291.07458902589417</v>
      </c>
      <c r="AD101" s="17">
        <f t="shared" si="31"/>
        <v>0</v>
      </c>
      <c r="AE101" s="8">
        <v>33.200000000000003</v>
      </c>
      <c r="AF101" s="28">
        <f t="shared" si="32"/>
        <v>51780.120481927705</v>
      </c>
      <c r="AG101" s="28">
        <f t="shared" si="42"/>
        <v>38155.11713933415</v>
      </c>
      <c r="AH101" s="28">
        <f t="shared" si="33"/>
        <v>29387.810240963845</v>
      </c>
      <c r="AI101" s="42">
        <f t="shared" si="34"/>
        <v>22392.31024096386</v>
      </c>
      <c r="AJ101" s="44">
        <f t="shared" si="35"/>
        <v>45.055555555555557</v>
      </c>
      <c r="AK101" s="45">
        <f t="shared" si="36"/>
        <v>38155.11713933415</v>
      </c>
      <c r="AL101" s="45">
        <f t="shared" si="37"/>
        <v>21654.938840937109</v>
      </c>
      <c r="AM101" s="45">
        <f t="shared" si="38"/>
        <v>16500.178298397041</v>
      </c>
      <c r="AN101" s="23">
        <f t="shared" si="39"/>
        <v>1.357095046854083</v>
      </c>
      <c r="AP101" s="20" t="e">
        <f>IF(AH101/S101&lt;#REF!,AH101,0)</f>
        <v>#REF!</v>
      </c>
      <c r="AQ101" s="11" t="e">
        <f>IF(AP101&gt;0,(#REF!*S101-AP101)*AE101/1000*1.302*4,0)</f>
        <v>#REF!</v>
      </c>
    </row>
    <row r="102" spans="1:43" x14ac:dyDescent="0.25">
      <c r="A102" s="8" t="s">
        <v>29</v>
      </c>
      <c r="B102" s="30" t="s">
        <v>366</v>
      </c>
      <c r="C102" s="8">
        <v>282</v>
      </c>
      <c r="D102" s="8">
        <v>314</v>
      </c>
      <c r="E102" s="8">
        <v>42</v>
      </c>
      <c r="F102" s="8">
        <f t="shared" si="22"/>
        <v>638</v>
      </c>
      <c r="G102" s="8">
        <v>1</v>
      </c>
      <c r="J102" s="8">
        <f t="shared" si="23"/>
        <v>1</v>
      </c>
      <c r="K102" s="8">
        <v>3</v>
      </c>
      <c r="L102" s="8">
        <v>1</v>
      </c>
      <c r="M102" s="8">
        <v>0</v>
      </c>
      <c r="N102" s="8">
        <f t="shared" si="24"/>
        <v>4</v>
      </c>
      <c r="O102" s="8">
        <v>12</v>
      </c>
      <c r="P102" s="8">
        <v>13</v>
      </c>
      <c r="Q102" s="8">
        <v>2</v>
      </c>
      <c r="R102" s="8">
        <f t="shared" si="25"/>
        <v>27</v>
      </c>
      <c r="S102" s="31">
        <v>1.5</v>
      </c>
      <c r="T102" s="30">
        <v>1</v>
      </c>
      <c r="U102" s="66">
        <f>IF(A102='Свод по районам'!$A$17,'Свод по районам'!$G$17,0)</f>
        <v>1.5018371918905604</v>
      </c>
      <c r="V102" s="30">
        <f t="shared" si="40"/>
        <v>1496</v>
      </c>
      <c r="W102" s="12">
        <f t="shared" si="41"/>
        <v>1233.2145545796741</v>
      </c>
      <c r="X102" s="11">
        <v>824.0756100000001</v>
      </c>
      <c r="Y102" s="17">
        <f t="shared" si="26"/>
        <v>671.9243899999999</v>
      </c>
      <c r="Z102" s="17">
        <f t="shared" si="27"/>
        <v>671.9243899999999</v>
      </c>
      <c r="AA102" s="17">
        <f t="shared" si="28"/>
        <v>0</v>
      </c>
      <c r="AB102" s="20">
        <f t="shared" si="29"/>
        <v>409.13894457967399</v>
      </c>
      <c r="AC102" s="17">
        <f t="shared" si="30"/>
        <v>409.13894457967399</v>
      </c>
      <c r="AD102" s="17">
        <f t="shared" si="31"/>
        <v>0</v>
      </c>
      <c r="AE102" s="8">
        <v>36.5</v>
      </c>
      <c r="AF102" s="28">
        <f t="shared" si="32"/>
        <v>40986.301369863017</v>
      </c>
      <c r="AG102" s="28">
        <f t="shared" si="42"/>
        <v>33786.700125470525</v>
      </c>
      <c r="AH102" s="28">
        <f t="shared" si="33"/>
        <v>22577.413972602742</v>
      </c>
      <c r="AI102" s="42">
        <f t="shared" si="34"/>
        <v>18408.887397260274</v>
      </c>
      <c r="AJ102" s="44">
        <f t="shared" si="35"/>
        <v>44.277777777777771</v>
      </c>
      <c r="AK102" s="45">
        <f t="shared" si="36"/>
        <v>33786.700125470517</v>
      </c>
      <c r="AL102" s="45">
        <f t="shared" si="37"/>
        <v>18611.494328732755</v>
      </c>
      <c r="AM102" s="45">
        <f t="shared" si="38"/>
        <v>15175.205796737762</v>
      </c>
      <c r="AN102" s="23">
        <f t="shared" si="39"/>
        <v>1.2130898021308978</v>
      </c>
      <c r="AP102" s="20" t="e">
        <f>IF(AH102/S102&lt;#REF!,AH102,0)</f>
        <v>#REF!</v>
      </c>
      <c r="AQ102" s="11" t="e">
        <f>IF(AP102&gt;0,(#REF!*S102-AP102)*AE102/1000*1.302*4,0)</f>
        <v>#REF!</v>
      </c>
    </row>
    <row r="103" spans="1:43" x14ac:dyDescent="0.25">
      <c r="A103" s="8" t="s">
        <v>29</v>
      </c>
      <c r="B103" s="30" t="s">
        <v>365</v>
      </c>
      <c r="C103" s="8">
        <v>158</v>
      </c>
      <c r="D103" s="8">
        <v>179</v>
      </c>
      <c r="E103" s="8">
        <v>34</v>
      </c>
      <c r="F103" s="8">
        <f t="shared" si="22"/>
        <v>371</v>
      </c>
      <c r="J103" s="8">
        <f t="shared" si="23"/>
        <v>0</v>
      </c>
      <c r="K103" s="8">
        <v>5</v>
      </c>
      <c r="L103" s="8">
        <v>0</v>
      </c>
      <c r="M103" s="8">
        <v>0</v>
      </c>
      <c r="N103" s="8">
        <f t="shared" si="24"/>
        <v>5</v>
      </c>
      <c r="O103" s="8">
        <v>7</v>
      </c>
      <c r="P103" s="8">
        <v>8</v>
      </c>
      <c r="Q103" s="8">
        <v>2</v>
      </c>
      <c r="R103" s="8">
        <f t="shared" si="25"/>
        <v>17</v>
      </c>
      <c r="S103" s="31">
        <v>1.5</v>
      </c>
      <c r="T103" s="30">
        <v>1</v>
      </c>
      <c r="U103" s="66">
        <f>IF(A103='Свод по районам'!$A$17,'Свод по районам'!$G$17,0)</f>
        <v>1.5018371918905604</v>
      </c>
      <c r="V103" s="30">
        <f t="shared" si="40"/>
        <v>885.5</v>
      </c>
      <c r="W103" s="12">
        <f t="shared" si="41"/>
        <v>632.5</v>
      </c>
      <c r="X103" s="11">
        <v>648.38259999999991</v>
      </c>
      <c r="Y103" s="17">
        <f t="shared" si="26"/>
        <v>237.11740000000009</v>
      </c>
      <c r="Z103" s="17">
        <f t="shared" si="27"/>
        <v>237.11740000000009</v>
      </c>
      <c r="AA103" s="17">
        <f t="shared" si="28"/>
        <v>0</v>
      </c>
      <c r="AB103" s="20">
        <f t="shared" si="29"/>
        <v>-15.882599999999911</v>
      </c>
      <c r="AC103" s="17">
        <f t="shared" si="30"/>
        <v>0</v>
      </c>
      <c r="AD103" s="17">
        <f t="shared" si="31"/>
        <v>-15.882599999999911</v>
      </c>
      <c r="AE103" s="8">
        <v>20</v>
      </c>
      <c r="AF103" s="28">
        <f t="shared" si="32"/>
        <v>44275</v>
      </c>
      <c r="AG103" s="28">
        <f t="shared" si="42"/>
        <v>31625</v>
      </c>
      <c r="AH103" s="28">
        <f t="shared" si="33"/>
        <v>32419.129999999997</v>
      </c>
      <c r="AI103" s="42">
        <f t="shared" si="34"/>
        <v>11855.870000000003</v>
      </c>
      <c r="AJ103" s="44">
        <f t="shared" si="35"/>
        <v>28</v>
      </c>
      <c r="AK103" s="45">
        <f t="shared" si="36"/>
        <v>31625</v>
      </c>
      <c r="AL103" s="45">
        <f t="shared" si="37"/>
        <v>23156.521428571428</v>
      </c>
      <c r="AM103" s="45">
        <f t="shared" si="38"/>
        <v>8468.4785714285717</v>
      </c>
      <c r="AN103" s="23">
        <f t="shared" si="39"/>
        <v>1.4</v>
      </c>
      <c r="AP103" s="20" t="e">
        <f>IF(AH103/S103&lt;#REF!,AH103,0)</f>
        <v>#REF!</v>
      </c>
      <c r="AQ103" s="11" t="e">
        <f>IF(AP103&gt;0,(#REF!*S103-AP103)*AE103/1000*1.302*4,0)</f>
        <v>#REF!</v>
      </c>
    </row>
    <row r="104" spans="1:43" x14ac:dyDescent="0.25">
      <c r="A104" s="8" t="s">
        <v>29</v>
      </c>
      <c r="B104" s="30" t="s">
        <v>362</v>
      </c>
      <c r="C104" s="8">
        <v>120</v>
      </c>
      <c r="D104" s="8">
        <v>139</v>
      </c>
      <c r="E104" s="8">
        <v>22</v>
      </c>
      <c r="F104" s="8">
        <f t="shared" si="22"/>
        <v>281</v>
      </c>
      <c r="H104" s="8">
        <v>3</v>
      </c>
      <c r="J104" s="8">
        <f t="shared" si="23"/>
        <v>3</v>
      </c>
      <c r="K104" s="8">
        <v>9</v>
      </c>
      <c r="L104" s="8">
        <v>0</v>
      </c>
      <c r="M104" s="8">
        <v>1</v>
      </c>
      <c r="N104" s="8">
        <f t="shared" si="24"/>
        <v>10</v>
      </c>
      <c r="O104" s="8">
        <v>6</v>
      </c>
      <c r="P104" s="8">
        <v>8</v>
      </c>
      <c r="Q104" s="8">
        <v>2</v>
      </c>
      <c r="R104" s="8">
        <f t="shared" si="25"/>
        <v>16</v>
      </c>
      <c r="S104" s="31">
        <v>1.5</v>
      </c>
      <c r="T104" s="30">
        <v>1.25</v>
      </c>
      <c r="U104" s="66">
        <f>IF(A104='Свод по районам'!$A$17,'Свод по районам'!$G$17,0)</f>
        <v>1.5018371918905604</v>
      </c>
      <c r="V104" s="30">
        <f t="shared" si="40"/>
        <v>872.2</v>
      </c>
      <c r="W104" s="12">
        <f t="shared" si="41"/>
        <v>609.00982456140355</v>
      </c>
      <c r="X104" s="11">
        <v>639.63351999999998</v>
      </c>
      <c r="Y104" s="17">
        <f t="shared" si="26"/>
        <v>232.56648000000007</v>
      </c>
      <c r="Z104" s="17">
        <f t="shared" si="27"/>
        <v>232.56648000000007</v>
      </c>
      <c r="AA104" s="17">
        <f t="shared" si="28"/>
        <v>0</v>
      </c>
      <c r="AB104" s="20">
        <f t="shared" si="29"/>
        <v>-30.623695438596428</v>
      </c>
      <c r="AC104" s="17">
        <f t="shared" si="30"/>
        <v>0</v>
      </c>
      <c r="AD104" s="17">
        <f t="shared" si="31"/>
        <v>-30.623695438596428</v>
      </c>
      <c r="AE104" s="8">
        <v>19.899999999999999</v>
      </c>
      <c r="AF104" s="28">
        <f t="shared" si="32"/>
        <v>43829.14572864322</v>
      </c>
      <c r="AG104" s="28">
        <f t="shared" si="42"/>
        <v>30603.508771929828</v>
      </c>
      <c r="AH104" s="28">
        <f t="shared" si="33"/>
        <v>32142.387939698496</v>
      </c>
      <c r="AI104" s="42">
        <f t="shared" si="34"/>
        <v>11686.757788944724</v>
      </c>
      <c r="AJ104" s="44">
        <f t="shared" si="35"/>
        <v>28.499999999999996</v>
      </c>
      <c r="AK104" s="45">
        <f t="shared" si="36"/>
        <v>30603.508771929828</v>
      </c>
      <c r="AL104" s="45">
        <f t="shared" si="37"/>
        <v>22443.281403508772</v>
      </c>
      <c r="AM104" s="45">
        <f t="shared" si="38"/>
        <v>8160.2273684210559</v>
      </c>
      <c r="AN104" s="23">
        <f t="shared" si="39"/>
        <v>1.4321608040201004</v>
      </c>
      <c r="AP104" s="20" t="e">
        <f>IF(AH104/S104&lt;#REF!,AH104,0)</f>
        <v>#REF!</v>
      </c>
      <c r="AQ104" s="11" t="e">
        <f>IF(AP104&gt;0,(#REF!*S104-AP104)*AE104/1000*1.302*4,0)</f>
        <v>#REF!</v>
      </c>
    </row>
    <row r="105" spans="1:43" x14ac:dyDescent="0.25">
      <c r="A105" s="8" t="s">
        <v>29</v>
      </c>
      <c r="B105" s="30" t="s">
        <v>358</v>
      </c>
      <c r="C105" s="8">
        <v>109</v>
      </c>
      <c r="D105" s="8">
        <v>125</v>
      </c>
      <c r="E105" s="8">
        <v>11</v>
      </c>
      <c r="F105" s="8">
        <f t="shared" si="22"/>
        <v>245</v>
      </c>
      <c r="G105" s="8">
        <v>2</v>
      </c>
      <c r="J105" s="8">
        <f t="shared" si="23"/>
        <v>2</v>
      </c>
      <c r="K105" s="8">
        <v>4</v>
      </c>
      <c r="L105" s="8">
        <v>1</v>
      </c>
      <c r="M105" s="8">
        <v>0</v>
      </c>
      <c r="N105" s="8">
        <f t="shared" si="24"/>
        <v>5</v>
      </c>
      <c r="O105" s="8">
        <v>4</v>
      </c>
      <c r="P105" s="8">
        <v>7</v>
      </c>
      <c r="Q105" s="8">
        <v>2</v>
      </c>
      <c r="R105" s="8">
        <f t="shared" si="25"/>
        <v>13</v>
      </c>
      <c r="S105" s="31">
        <v>1.5</v>
      </c>
      <c r="T105" s="30">
        <v>1.25</v>
      </c>
      <c r="U105" s="66">
        <f>IF(A105='Свод по районам'!$A$17,'Свод по районам'!$G$17,0)</f>
        <v>1.5018371918905604</v>
      </c>
      <c r="V105" s="30">
        <f t="shared" si="40"/>
        <v>725</v>
      </c>
      <c r="W105" s="12">
        <f t="shared" si="41"/>
        <v>471.68674698795184</v>
      </c>
      <c r="X105" s="11">
        <v>531.56949999999995</v>
      </c>
      <c r="Y105" s="17">
        <f t="shared" si="26"/>
        <v>193.43050000000005</v>
      </c>
      <c r="Z105" s="17">
        <f t="shared" si="27"/>
        <v>193.43050000000005</v>
      </c>
      <c r="AA105" s="17">
        <f t="shared" si="28"/>
        <v>0</v>
      </c>
      <c r="AB105" s="20">
        <f t="shared" si="29"/>
        <v>-59.882753012048113</v>
      </c>
      <c r="AC105" s="17">
        <f t="shared" si="30"/>
        <v>0</v>
      </c>
      <c r="AD105" s="17">
        <f t="shared" si="31"/>
        <v>-59.882753012048113</v>
      </c>
      <c r="AE105" s="8">
        <v>15</v>
      </c>
      <c r="AF105" s="28">
        <f t="shared" si="32"/>
        <v>48333.333333333336</v>
      </c>
      <c r="AG105" s="28">
        <f t="shared" si="42"/>
        <v>31445.783132530119</v>
      </c>
      <c r="AH105" s="28">
        <f t="shared" si="33"/>
        <v>35437.96666666666</v>
      </c>
      <c r="AI105" s="42">
        <f t="shared" si="34"/>
        <v>12895.366666666676</v>
      </c>
      <c r="AJ105" s="44">
        <f t="shared" si="35"/>
        <v>23.055555555555554</v>
      </c>
      <c r="AK105" s="45">
        <f t="shared" si="36"/>
        <v>31445.783132530123</v>
      </c>
      <c r="AL105" s="45">
        <f t="shared" si="37"/>
        <v>23056.026506024096</v>
      </c>
      <c r="AM105" s="45">
        <f t="shared" si="38"/>
        <v>8389.7566265060268</v>
      </c>
      <c r="AN105" s="23">
        <f t="shared" si="39"/>
        <v>1.537037037037037</v>
      </c>
      <c r="AP105" s="20" t="e">
        <f>IF(AH105/S105&lt;#REF!,AH105,0)</f>
        <v>#REF!</v>
      </c>
      <c r="AQ105" s="11" t="e">
        <f>IF(AP105&gt;0,(#REF!*S105-AP105)*AE105/1000*1.302*4,0)</f>
        <v>#REF!</v>
      </c>
    </row>
    <row r="106" spans="1:43" x14ac:dyDescent="0.25">
      <c r="A106" s="8" t="s">
        <v>29</v>
      </c>
      <c r="B106" s="30" t="s">
        <v>361</v>
      </c>
      <c r="C106" s="8">
        <v>89</v>
      </c>
      <c r="D106" s="8">
        <v>91</v>
      </c>
      <c r="E106" s="8">
        <v>14</v>
      </c>
      <c r="F106" s="8">
        <f t="shared" si="22"/>
        <v>194</v>
      </c>
      <c r="G106" s="8">
        <v>2</v>
      </c>
      <c r="H106" s="8">
        <v>2</v>
      </c>
      <c r="J106" s="8">
        <f t="shared" si="23"/>
        <v>4</v>
      </c>
      <c r="K106" s="8">
        <v>3</v>
      </c>
      <c r="L106" s="8">
        <v>2</v>
      </c>
      <c r="M106" s="8">
        <v>0</v>
      </c>
      <c r="N106" s="8">
        <f t="shared" si="24"/>
        <v>5</v>
      </c>
      <c r="O106" s="8">
        <v>4</v>
      </c>
      <c r="P106" s="8">
        <v>5</v>
      </c>
      <c r="Q106" s="8">
        <v>2</v>
      </c>
      <c r="R106" s="8">
        <f t="shared" si="25"/>
        <v>11</v>
      </c>
      <c r="S106" s="31">
        <v>1.5</v>
      </c>
      <c r="T106" s="30">
        <v>1.25</v>
      </c>
      <c r="U106" s="66">
        <f>IF(A106='Свод по районам'!$A$17,'Свод по районам'!$G$17,0)</f>
        <v>1.5018371918905604</v>
      </c>
      <c r="V106" s="30">
        <f t="shared" si="40"/>
        <v>610.70000000000005</v>
      </c>
      <c r="W106" s="12">
        <f t="shared" si="41"/>
        <v>385.18544474393536</v>
      </c>
      <c r="X106" s="11">
        <v>433.11410000000006</v>
      </c>
      <c r="Y106" s="17">
        <f t="shared" si="26"/>
        <v>177.58589999999998</v>
      </c>
      <c r="Z106" s="17">
        <f t="shared" si="27"/>
        <v>177.58589999999998</v>
      </c>
      <c r="AA106" s="17">
        <f t="shared" si="28"/>
        <v>0</v>
      </c>
      <c r="AB106" s="20">
        <f t="shared" si="29"/>
        <v>-47.928655256064701</v>
      </c>
      <c r="AC106" s="17">
        <f t="shared" si="30"/>
        <v>0</v>
      </c>
      <c r="AD106" s="17">
        <f t="shared" si="31"/>
        <v>-47.928655256064701</v>
      </c>
      <c r="AE106" s="8">
        <v>13</v>
      </c>
      <c r="AF106" s="28">
        <f t="shared" si="32"/>
        <v>46976.923076923078</v>
      </c>
      <c r="AG106" s="28">
        <f t="shared" si="42"/>
        <v>29629.649595687337</v>
      </c>
      <c r="AH106" s="28">
        <f t="shared" si="33"/>
        <v>33316.469230769238</v>
      </c>
      <c r="AI106" s="42">
        <f t="shared" si="34"/>
        <v>13660.45384615384</v>
      </c>
      <c r="AJ106" s="44">
        <f t="shared" si="35"/>
        <v>20.611111111111111</v>
      </c>
      <c r="AK106" s="45">
        <f t="shared" si="36"/>
        <v>29629.649595687333</v>
      </c>
      <c r="AL106" s="45">
        <f t="shared" si="37"/>
        <v>21013.622102425881</v>
      </c>
      <c r="AM106" s="45">
        <f t="shared" si="38"/>
        <v>8616.027493261452</v>
      </c>
      <c r="AN106" s="23">
        <f t="shared" si="39"/>
        <v>1.5854700854700854</v>
      </c>
      <c r="AP106" s="20" t="e">
        <f>IF(AH106/S106&lt;#REF!,AH106,0)</f>
        <v>#REF!</v>
      </c>
      <c r="AQ106" s="11" t="e">
        <f>IF(AP106&gt;0,(#REF!*S106-AP106)*AE106/1000*1.302*4,0)</f>
        <v>#REF!</v>
      </c>
    </row>
    <row r="107" spans="1:43" x14ac:dyDescent="0.25">
      <c r="A107" s="8" t="s">
        <v>29</v>
      </c>
      <c r="B107" s="30" t="s">
        <v>359</v>
      </c>
      <c r="C107" s="8">
        <v>41</v>
      </c>
      <c r="D107" s="8">
        <v>66</v>
      </c>
      <c r="E107" s="8">
        <v>15</v>
      </c>
      <c r="F107" s="8">
        <f t="shared" si="22"/>
        <v>122</v>
      </c>
      <c r="H107" s="8">
        <v>1</v>
      </c>
      <c r="J107" s="8">
        <f t="shared" si="23"/>
        <v>1</v>
      </c>
      <c r="K107" s="8">
        <v>4</v>
      </c>
      <c r="L107" s="8">
        <v>0</v>
      </c>
      <c r="M107" s="8">
        <v>0</v>
      </c>
      <c r="N107" s="8">
        <f t="shared" si="24"/>
        <v>4</v>
      </c>
      <c r="O107" s="8">
        <v>4</v>
      </c>
      <c r="P107" s="8">
        <v>5</v>
      </c>
      <c r="Q107" s="8">
        <v>2</v>
      </c>
      <c r="R107" s="8">
        <f t="shared" si="25"/>
        <v>11</v>
      </c>
      <c r="S107" s="31">
        <v>1.5</v>
      </c>
      <c r="T107" s="30">
        <v>1.25</v>
      </c>
      <c r="U107" s="66">
        <f>IF(A107='Свод по районам'!$A$17,'Свод по районам'!$G$17,0)</f>
        <v>1.5018371918905604</v>
      </c>
      <c r="V107" s="30">
        <f t="shared" si="40"/>
        <v>396.4</v>
      </c>
      <c r="W107" s="12">
        <f t="shared" si="41"/>
        <v>207.41860465116278</v>
      </c>
      <c r="X107" s="11">
        <v>326.20000999999996</v>
      </c>
      <c r="Y107" s="17">
        <f t="shared" si="26"/>
        <v>70.199990000000014</v>
      </c>
      <c r="Z107" s="17">
        <f t="shared" si="27"/>
        <v>70.199990000000014</v>
      </c>
      <c r="AA107" s="17">
        <f t="shared" si="28"/>
        <v>0</v>
      </c>
      <c r="AB107" s="20">
        <f t="shared" si="29"/>
        <v>-118.78140534883718</v>
      </c>
      <c r="AC107" s="17">
        <f t="shared" si="30"/>
        <v>0</v>
      </c>
      <c r="AD107" s="17">
        <f t="shared" si="31"/>
        <v>-118.78140534883718</v>
      </c>
      <c r="AE107" s="8">
        <v>10</v>
      </c>
      <c r="AF107" s="28">
        <f t="shared" si="32"/>
        <v>39640</v>
      </c>
      <c r="AG107" s="28">
        <f t="shared" si="42"/>
        <v>20741.860465116279</v>
      </c>
      <c r="AH107" s="28">
        <f t="shared" si="33"/>
        <v>32620.000999999997</v>
      </c>
      <c r="AI107" s="42">
        <f t="shared" si="34"/>
        <v>7019.9990000000034</v>
      </c>
      <c r="AJ107" s="44">
        <f t="shared" si="35"/>
        <v>19.111111111111111</v>
      </c>
      <c r="AK107" s="45">
        <f t="shared" si="36"/>
        <v>20741.860465116279</v>
      </c>
      <c r="AL107" s="45">
        <f t="shared" si="37"/>
        <v>17068.605174418604</v>
      </c>
      <c r="AM107" s="45">
        <f t="shared" si="38"/>
        <v>3673.2552906976744</v>
      </c>
      <c r="AN107" s="23">
        <f t="shared" si="39"/>
        <v>1.911111111111111</v>
      </c>
      <c r="AP107" s="20" t="e">
        <f>IF(AH107/S107&lt;#REF!,AH107,0)</f>
        <v>#REF!</v>
      </c>
      <c r="AQ107" s="11" t="e">
        <f>IF(AP107&gt;0,(#REF!*S107-AP107)*AE107/1000*1.302*4,0)</f>
        <v>#REF!</v>
      </c>
    </row>
    <row r="108" spans="1:43" x14ac:dyDescent="0.25">
      <c r="A108" s="8" t="s">
        <v>29</v>
      </c>
      <c r="B108" s="30" t="s">
        <v>360</v>
      </c>
      <c r="C108" s="8">
        <v>41</v>
      </c>
      <c r="D108" s="8">
        <v>61</v>
      </c>
      <c r="E108" s="8">
        <v>15</v>
      </c>
      <c r="F108" s="8">
        <f t="shared" si="22"/>
        <v>117</v>
      </c>
      <c r="H108" s="8">
        <v>1</v>
      </c>
      <c r="J108" s="8">
        <f t="shared" si="23"/>
        <v>1</v>
      </c>
      <c r="K108" s="8">
        <v>2</v>
      </c>
      <c r="L108" s="8">
        <v>1</v>
      </c>
      <c r="M108" s="8">
        <v>0</v>
      </c>
      <c r="N108" s="8">
        <f t="shared" si="24"/>
        <v>3</v>
      </c>
      <c r="O108" s="8">
        <v>4</v>
      </c>
      <c r="P108" s="8">
        <v>5</v>
      </c>
      <c r="Q108" s="8">
        <v>1</v>
      </c>
      <c r="R108" s="8">
        <f t="shared" si="25"/>
        <v>10</v>
      </c>
      <c r="S108" s="31">
        <v>1.5</v>
      </c>
      <c r="T108" s="30">
        <v>1.25</v>
      </c>
      <c r="U108" s="66">
        <f>IF(A108='Свод по районам'!$A$17,'Свод по районам'!$G$17,0)</f>
        <v>1.5018371918905604</v>
      </c>
      <c r="V108" s="30">
        <f t="shared" si="40"/>
        <v>379.8</v>
      </c>
      <c r="W108" s="12">
        <f t="shared" si="41"/>
        <v>310.74545454545461</v>
      </c>
      <c r="X108" s="11">
        <v>347.67328000000003</v>
      </c>
      <c r="Y108" s="17">
        <f t="shared" si="26"/>
        <v>32.126719999999978</v>
      </c>
      <c r="Z108" s="17">
        <f t="shared" si="27"/>
        <v>32.126719999999978</v>
      </c>
      <c r="AA108" s="17">
        <f t="shared" si="28"/>
        <v>0</v>
      </c>
      <c r="AB108" s="20">
        <f t="shared" si="29"/>
        <v>-36.927825454545427</v>
      </c>
      <c r="AC108" s="17">
        <f t="shared" si="30"/>
        <v>0</v>
      </c>
      <c r="AD108" s="17">
        <f t="shared" si="31"/>
        <v>-36.927825454545427</v>
      </c>
      <c r="AE108" s="8">
        <v>14</v>
      </c>
      <c r="AF108" s="28">
        <f t="shared" si="32"/>
        <v>27128.571428571431</v>
      </c>
      <c r="AG108" s="28">
        <f t="shared" si="42"/>
        <v>22196.103896103901</v>
      </c>
      <c r="AH108" s="28">
        <f t="shared" si="33"/>
        <v>24833.805714285718</v>
      </c>
      <c r="AI108" s="42">
        <f t="shared" si="34"/>
        <v>2294.7657142857133</v>
      </c>
      <c r="AJ108" s="44">
        <f t="shared" si="35"/>
        <v>17.111111111111111</v>
      </c>
      <c r="AK108" s="45">
        <f t="shared" si="36"/>
        <v>22196.103896103898</v>
      </c>
      <c r="AL108" s="45">
        <f t="shared" si="37"/>
        <v>20318.568311688312</v>
      </c>
      <c r="AM108" s="45">
        <f t="shared" si="38"/>
        <v>1877.5355844155856</v>
      </c>
      <c r="AN108" s="23">
        <f t="shared" si="39"/>
        <v>1.2222222222222221</v>
      </c>
      <c r="AP108" s="20" t="e">
        <f>IF(AH108/S108&lt;#REF!,AH108,0)</f>
        <v>#REF!</v>
      </c>
      <c r="AQ108" s="11" t="e">
        <f>IF(AP108&gt;0,(#REF!*S108-AP108)*AE108/1000*1.302*4,0)</f>
        <v>#REF!</v>
      </c>
    </row>
    <row r="109" spans="1:43" x14ac:dyDescent="0.25">
      <c r="A109" s="8" t="s">
        <v>29</v>
      </c>
      <c r="B109" s="30" t="s">
        <v>363</v>
      </c>
      <c r="C109" s="8">
        <v>48</v>
      </c>
      <c r="D109" s="8">
        <v>56</v>
      </c>
      <c r="E109" s="8">
        <v>13</v>
      </c>
      <c r="F109" s="8">
        <f t="shared" si="22"/>
        <v>117</v>
      </c>
      <c r="G109" s="8">
        <v>1</v>
      </c>
      <c r="J109" s="8">
        <f t="shared" si="23"/>
        <v>1</v>
      </c>
      <c r="K109" s="8">
        <v>0</v>
      </c>
      <c r="L109" s="8">
        <v>0</v>
      </c>
      <c r="M109" s="8">
        <v>0</v>
      </c>
      <c r="N109" s="8">
        <f t="shared" si="24"/>
        <v>0</v>
      </c>
      <c r="O109" s="8">
        <v>4</v>
      </c>
      <c r="P109" s="8">
        <v>5</v>
      </c>
      <c r="Q109" s="8">
        <v>2</v>
      </c>
      <c r="R109" s="8">
        <f t="shared" si="25"/>
        <v>11</v>
      </c>
      <c r="S109" s="31">
        <v>1.5</v>
      </c>
      <c r="T109" s="30">
        <v>1.25</v>
      </c>
      <c r="U109" s="66">
        <f>IF(A109='Свод по районам'!$A$17,'Свод по районам'!$G$17,0)</f>
        <v>1.5018371918905604</v>
      </c>
      <c r="V109" s="30">
        <f t="shared" si="40"/>
        <v>364.1</v>
      </c>
      <c r="W109" s="12">
        <f t="shared" si="41"/>
        <v>307.50967741935489</v>
      </c>
      <c r="X109" s="11">
        <v>348.9228500000001</v>
      </c>
      <c r="Y109" s="17">
        <f t="shared" si="26"/>
        <v>15.177149999999926</v>
      </c>
      <c r="Z109" s="17">
        <f t="shared" si="27"/>
        <v>15.177149999999926</v>
      </c>
      <c r="AA109" s="17">
        <f t="shared" si="28"/>
        <v>0</v>
      </c>
      <c r="AB109" s="20">
        <f t="shared" si="29"/>
        <v>-41.41317258064521</v>
      </c>
      <c r="AC109" s="17">
        <f t="shared" si="30"/>
        <v>0</v>
      </c>
      <c r="AD109" s="17">
        <f t="shared" si="31"/>
        <v>-41.41317258064521</v>
      </c>
      <c r="AE109" s="8">
        <v>16</v>
      </c>
      <c r="AF109" s="28">
        <f t="shared" si="32"/>
        <v>22756.25</v>
      </c>
      <c r="AG109" s="28">
        <f t="shared" si="42"/>
        <v>19219.354838709682</v>
      </c>
      <c r="AH109" s="28">
        <f t="shared" si="33"/>
        <v>21807.678125000006</v>
      </c>
      <c r="AI109" s="42">
        <f t="shared" si="34"/>
        <v>948.57187499999418</v>
      </c>
      <c r="AJ109" s="44">
        <f t="shared" si="35"/>
        <v>18.944444444444443</v>
      </c>
      <c r="AK109" s="45">
        <f t="shared" si="36"/>
        <v>19219.354838709682</v>
      </c>
      <c r="AL109" s="45">
        <f t="shared" si="37"/>
        <v>18418.21495601174</v>
      </c>
      <c r="AM109" s="45">
        <f t="shared" si="38"/>
        <v>801.13988269794208</v>
      </c>
      <c r="AN109" s="23">
        <f t="shared" si="39"/>
        <v>1.1840277777777777</v>
      </c>
      <c r="AP109" s="20" t="e">
        <f>IF(AH109/S109&lt;#REF!,AH109,0)</f>
        <v>#REF!</v>
      </c>
      <c r="AQ109" s="11" t="e">
        <f>IF(AP109&gt;0,(#REF!*S109-AP109)*AE109/1000*1.302*4,0)</f>
        <v>#REF!</v>
      </c>
    </row>
    <row r="110" spans="1:43" x14ac:dyDescent="0.25">
      <c r="A110" s="8" t="s">
        <v>30</v>
      </c>
      <c r="B110" s="30" t="s">
        <v>371</v>
      </c>
      <c r="C110" s="8">
        <v>318</v>
      </c>
      <c r="D110" s="8">
        <v>350</v>
      </c>
      <c r="E110" s="8">
        <v>79</v>
      </c>
      <c r="F110" s="8">
        <f t="shared" si="22"/>
        <v>747</v>
      </c>
      <c r="G110" s="8">
        <v>4</v>
      </c>
      <c r="H110" s="8">
        <v>6</v>
      </c>
      <c r="J110" s="8">
        <f t="shared" si="23"/>
        <v>10</v>
      </c>
      <c r="K110" s="8">
        <v>13</v>
      </c>
      <c r="L110" s="8">
        <v>8</v>
      </c>
      <c r="M110" s="8">
        <v>0</v>
      </c>
      <c r="N110" s="8">
        <f t="shared" si="24"/>
        <v>21</v>
      </c>
      <c r="O110" s="8">
        <v>12</v>
      </c>
      <c r="P110" s="8">
        <v>15</v>
      </c>
      <c r="Q110" s="8">
        <v>4</v>
      </c>
      <c r="R110" s="8">
        <f t="shared" si="25"/>
        <v>31</v>
      </c>
      <c r="S110" s="31">
        <v>2.2000000000000002</v>
      </c>
      <c r="T110" s="30">
        <v>1</v>
      </c>
      <c r="U110" s="66">
        <f>IF(A110='Свод по районам'!$A$18,'Свод по районам'!$G$18,0)</f>
        <v>1.5715497256850639</v>
      </c>
      <c r="V110" s="30">
        <f t="shared" si="40"/>
        <v>2778.7</v>
      </c>
      <c r="W110" s="12">
        <f t="shared" si="41"/>
        <v>1610.2905365853658</v>
      </c>
      <c r="X110" s="11">
        <v>2019.44372</v>
      </c>
      <c r="Y110" s="17">
        <f t="shared" si="26"/>
        <v>759.25627999999983</v>
      </c>
      <c r="Z110" s="17">
        <f t="shared" si="27"/>
        <v>759.25627999999983</v>
      </c>
      <c r="AA110" s="17">
        <f t="shared" si="28"/>
        <v>0</v>
      </c>
      <c r="AB110" s="20">
        <f t="shared" si="29"/>
        <v>-409.15318341463421</v>
      </c>
      <c r="AC110" s="17">
        <f t="shared" si="30"/>
        <v>0</v>
      </c>
      <c r="AD110" s="17">
        <f t="shared" si="31"/>
        <v>-409.15318341463421</v>
      </c>
      <c r="AE110" s="8">
        <v>33</v>
      </c>
      <c r="AF110" s="28">
        <f t="shared" si="32"/>
        <v>84203.030303030304</v>
      </c>
      <c r="AG110" s="28">
        <f t="shared" si="42"/>
        <v>48796.682926829264</v>
      </c>
      <c r="AH110" s="28">
        <f t="shared" si="33"/>
        <v>61195.264242424244</v>
      </c>
      <c r="AI110" s="42">
        <f t="shared" si="34"/>
        <v>23007.76606060606</v>
      </c>
      <c r="AJ110" s="44">
        <f t="shared" ref="AJ110:AJ141" si="43">(O110*$E$10+P110*$E$11+Q110*$E$12)+(G110*$S$10+H110*$S$11+I110*$S$12)</f>
        <v>56.944444444444443</v>
      </c>
      <c r="AK110" s="45">
        <f t="shared" si="36"/>
        <v>48796.682926829271</v>
      </c>
      <c r="AL110" s="45">
        <f t="shared" si="37"/>
        <v>35463.401912195121</v>
      </c>
      <c r="AM110" s="45">
        <f t="shared" si="38"/>
        <v>13333.281014634151</v>
      </c>
      <c r="AN110" s="23">
        <f t="shared" si="39"/>
        <v>1.7255892255892256</v>
      </c>
      <c r="AP110" s="20" t="e">
        <f>IF(AH110/S110&lt;#REF!,AH110,0)</f>
        <v>#REF!</v>
      </c>
      <c r="AQ110" s="11" t="e">
        <f>IF(AP110&gt;0,(#REF!*S110-AP110)*AE110/1000*1.302*4,0)</f>
        <v>#REF!</v>
      </c>
    </row>
    <row r="111" spans="1:43" x14ac:dyDescent="0.25">
      <c r="A111" s="8" t="s">
        <v>30</v>
      </c>
      <c r="B111" s="30" t="s">
        <v>370</v>
      </c>
      <c r="C111" s="8">
        <v>199</v>
      </c>
      <c r="D111" s="8">
        <v>223</v>
      </c>
      <c r="E111" s="8">
        <v>48</v>
      </c>
      <c r="F111" s="8">
        <f t="shared" si="22"/>
        <v>470</v>
      </c>
      <c r="G111" s="8">
        <v>4</v>
      </c>
      <c r="H111" s="8">
        <v>5</v>
      </c>
      <c r="J111" s="8">
        <f t="shared" si="23"/>
        <v>9</v>
      </c>
      <c r="K111" s="8">
        <v>20</v>
      </c>
      <c r="L111" s="8">
        <v>4</v>
      </c>
      <c r="M111" s="8">
        <v>2</v>
      </c>
      <c r="N111" s="8">
        <f t="shared" si="24"/>
        <v>26</v>
      </c>
      <c r="O111" s="8">
        <v>8</v>
      </c>
      <c r="P111" s="8">
        <v>11</v>
      </c>
      <c r="Q111" s="8">
        <v>2</v>
      </c>
      <c r="R111" s="8">
        <f t="shared" si="25"/>
        <v>21</v>
      </c>
      <c r="S111" s="31">
        <v>2.2000000000000002</v>
      </c>
      <c r="T111" s="30">
        <v>1</v>
      </c>
      <c r="U111" s="66">
        <f>IF(A111='Свод по районам'!$A$18,'Свод по районам'!$G$18,0)</f>
        <v>1.5715497256850639</v>
      </c>
      <c r="V111" s="30">
        <f t="shared" si="40"/>
        <v>1788.4</v>
      </c>
      <c r="W111" s="12">
        <f t="shared" si="41"/>
        <v>1027.9542857142858</v>
      </c>
      <c r="X111" s="11">
        <v>1218.49143</v>
      </c>
      <c r="Y111" s="17">
        <f t="shared" si="26"/>
        <v>569.90857000000005</v>
      </c>
      <c r="Z111" s="17">
        <f t="shared" si="27"/>
        <v>569.90857000000005</v>
      </c>
      <c r="AA111" s="17">
        <f t="shared" si="28"/>
        <v>0</v>
      </c>
      <c r="AB111" s="20">
        <f t="shared" si="29"/>
        <v>-190.53714428571425</v>
      </c>
      <c r="AC111" s="17">
        <f t="shared" si="30"/>
        <v>0</v>
      </c>
      <c r="AD111" s="17">
        <f t="shared" si="31"/>
        <v>-190.53714428571425</v>
      </c>
      <c r="AE111" s="8">
        <v>22.8</v>
      </c>
      <c r="AF111" s="28">
        <f t="shared" si="32"/>
        <v>78438.596491228061</v>
      </c>
      <c r="AG111" s="28">
        <f t="shared" si="42"/>
        <v>45085.71428571429</v>
      </c>
      <c r="AH111" s="28">
        <f t="shared" si="33"/>
        <v>53442.606578947372</v>
      </c>
      <c r="AI111" s="42">
        <f t="shared" si="34"/>
        <v>24995.989912280689</v>
      </c>
      <c r="AJ111" s="44">
        <f t="shared" si="43"/>
        <v>39.666666666666664</v>
      </c>
      <c r="AK111" s="45">
        <f t="shared" si="36"/>
        <v>45085.71428571429</v>
      </c>
      <c r="AL111" s="45">
        <f t="shared" si="37"/>
        <v>30718.271344537818</v>
      </c>
      <c r="AM111" s="45">
        <f t="shared" si="38"/>
        <v>14367.442941176472</v>
      </c>
      <c r="AN111" s="23">
        <f t="shared" si="39"/>
        <v>1.739766081871345</v>
      </c>
      <c r="AP111" s="20" t="e">
        <f>IF(AH111/S111&lt;#REF!,AH111,0)</f>
        <v>#REF!</v>
      </c>
      <c r="AQ111" s="11" t="e">
        <f>IF(AP111&gt;0,(#REF!*S111-AP111)*AE111/1000*1.302*4,0)</f>
        <v>#REF!</v>
      </c>
    </row>
    <row r="112" spans="1:43" x14ac:dyDescent="0.25">
      <c r="A112" s="8" t="s">
        <v>30</v>
      </c>
      <c r="B112" s="30" t="s">
        <v>372</v>
      </c>
      <c r="C112" s="8">
        <v>59</v>
      </c>
      <c r="D112" s="8">
        <v>65</v>
      </c>
      <c r="E112" s="8">
        <v>21</v>
      </c>
      <c r="F112" s="8">
        <f t="shared" si="22"/>
        <v>145</v>
      </c>
      <c r="J112" s="8">
        <f t="shared" si="23"/>
        <v>0</v>
      </c>
      <c r="K112" s="8">
        <v>4</v>
      </c>
      <c r="L112" s="8">
        <v>0</v>
      </c>
      <c r="M112" s="8">
        <v>0</v>
      </c>
      <c r="N112" s="8">
        <f t="shared" si="24"/>
        <v>4</v>
      </c>
      <c r="O112" s="8">
        <v>4</v>
      </c>
      <c r="P112" s="8">
        <v>5</v>
      </c>
      <c r="Q112" s="8">
        <v>2</v>
      </c>
      <c r="R112" s="8">
        <f t="shared" si="25"/>
        <v>11</v>
      </c>
      <c r="S112" s="31">
        <v>2.2000000000000002</v>
      </c>
      <c r="T112" s="30">
        <v>1</v>
      </c>
      <c r="U112" s="66">
        <f>IF(A112='Свод по районам'!$A$18,'Свод по районам'!$G$18,0)</f>
        <v>1.5715497256850639</v>
      </c>
      <c r="V112" s="30">
        <f t="shared" si="40"/>
        <v>528.70000000000005</v>
      </c>
      <c r="W112" s="12">
        <f t="shared" si="41"/>
        <v>257.20540540540543</v>
      </c>
      <c r="X112" s="11">
        <v>502.16219000000001</v>
      </c>
      <c r="Y112" s="17">
        <f t="shared" si="26"/>
        <v>26.537810000000036</v>
      </c>
      <c r="Z112" s="17">
        <f t="shared" si="27"/>
        <v>26.537810000000036</v>
      </c>
      <c r="AA112" s="17">
        <f t="shared" si="28"/>
        <v>0</v>
      </c>
      <c r="AB112" s="20">
        <f t="shared" si="29"/>
        <v>-244.95678459459458</v>
      </c>
      <c r="AC112" s="17">
        <f t="shared" si="30"/>
        <v>0</v>
      </c>
      <c r="AD112" s="17">
        <f t="shared" si="31"/>
        <v>-244.95678459459458</v>
      </c>
      <c r="AE112" s="8">
        <v>9</v>
      </c>
      <c r="AF112" s="28">
        <f t="shared" si="32"/>
        <v>58744.444444444445</v>
      </c>
      <c r="AG112" s="28">
        <f t="shared" si="42"/>
        <v>28578.37837837838</v>
      </c>
      <c r="AH112" s="28">
        <f t="shared" si="33"/>
        <v>55795.798888888887</v>
      </c>
      <c r="AI112" s="42">
        <f t="shared" si="34"/>
        <v>2948.6455555555585</v>
      </c>
      <c r="AJ112" s="44">
        <f t="shared" si="43"/>
        <v>18.5</v>
      </c>
      <c r="AK112" s="45">
        <f t="shared" si="36"/>
        <v>28578.37837837838</v>
      </c>
      <c r="AL112" s="45">
        <f t="shared" si="37"/>
        <v>27143.902162162165</v>
      </c>
      <c r="AM112" s="45">
        <f t="shared" si="38"/>
        <v>1434.4762162162151</v>
      </c>
      <c r="AN112" s="23">
        <f t="shared" si="39"/>
        <v>2.0555555555555554</v>
      </c>
      <c r="AP112" s="20" t="e">
        <f>IF(AH112/S112&lt;#REF!,AH112,0)</f>
        <v>#REF!</v>
      </c>
      <c r="AQ112" s="11" t="e">
        <f>IF(AP112&gt;0,(#REF!*S112-AP112)*AE112/1000*1.302*4,0)</f>
        <v>#REF!</v>
      </c>
    </row>
    <row r="113" spans="1:43" x14ac:dyDescent="0.25">
      <c r="A113" s="8" t="s">
        <v>31</v>
      </c>
      <c r="B113" s="30" t="s">
        <v>375</v>
      </c>
      <c r="C113" s="8">
        <v>305</v>
      </c>
      <c r="D113" s="8">
        <v>322</v>
      </c>
      <c r="E113" s="8">
        <v>69</v>
      </c>
      <c r="F113" s="8">
        <f t="shared" si="22"/>
        <v>696</v>
      </c>
      <c r="G113" s="8">
        <v>2</v>
      </c>
      <c r="H113" s="8">
        <v>2</v>
      </c>
      <c r="J113" s="8">
        <f t="shared" si="23"/>
        <v>4</v>
      </c>
      <c r="K113" s="8">
        <v>5</v>
      </c>
      <c r="L113" s="8">
        <v>4</v>
      </c>
      <c r="M113" s="8">
        <v>0</v>
      </c>
      <c r="N113" s="8">
        <f t="shared" si="24"/>
        <v>9</v>
      </c>
      <c r="O113" s="8">
        <v>12</v>
      </c>
      <c r="P113" s="8">
        <v>15</v>
      </c>
      <c r="Q113" s="8">
        <v>3</v>
      </c>
      <c r="R113" s="8">
        <f t="shared" si="25"/>
        <v>30</v>
      </c>
      <c r="S113" s="31">
        <v>1.5</v>
      </c>
      <c r="T113" s="30">
        <v>1.25</v>
      </c>
      <c r="U113" s="66">
        <f>IF(A113='Свод по районам'!$A$19,'Свод по районам'!$G$19,0)</f>
        <v>1.4181765086020945</v>
      </c>
      <c r="V113" s="30">
        <f t="shared" si="40"/>
        <v>2121.6999999999998</v>
      </c>
      <c r="W113" s="12">
        <f t="shared" si="41"/>
        <v>1603.2652314316467</v>
      </c>
      <c r="X113" s="11">
        <v>1303.5486000000001</v>
      </c>
      <c r="Y113" s="17">
        <f t="shared" si="26"/>
        <v>818.15139999999974</v>
      </c>
      <c r="Z113" s="17">
        <f t="shared" si="27"/>
        <v>818.15139999999974</v>
      </c>
      <c r="AA113" s="17">
        <f t="shared" si="28"/>
        <v>0</v>
      </c>
      <c r="AB113" s="20">
        <f t="shared" si="29"/>
        <v>299.71663143164665</v>
      </c>
      <c r="AC113" s="17">
        <f t="shared" si="30"/>
        <v>299.71663143164665</v>
      </c>
      <c r="AD113" s="17">
        <f t="shared" si="31"/>
        <v>0</v>
      </c>
      <c r="AE113" s="8">
        <v>39</v>
      </c>
      <c r="AF113" s="28">
        <f t="shared" si="32"/>
        <v>54402.564102564102</v>
      </c>
      <c r="AG113" s="28">
        <f t="shared" si="42"/>
        <v>41109.364908503761</v>
      </c>
      <c r="AH113" s="28">
        <f t="shared" si="33"/>
        <v>33424.323076923079</v>
      </c>
      <c r="AI113" s="42">
        <f t="shared" si="34"/>
        <v>20978.241025641022</v>
      </c>
      <c r="AJ113" s="44">
        <f t="shared" si="43"/>
        <v>51.611111111111114</v>
      </c>
      <c r="AK113" s="45">
        <f t="shared" si="36"/>
        <v>41109.364908503761</v>
      </c>
      <c r="AL113" s="45">
        <f t="shared" si="37"/>
        <v>25257.131108719055</v>
      </c>
      <c r="AM113" s="45">
        <f t="shared" si="38"/>
        <v>15852.233799784706</v>
      </c>
      <c r="AN113" s="23">
        <f t="shared" si="39"/>
        <v>1.3233618233618234</v>
      </c>
      <c r="AP113" s="20" t="e">
        <f>IF(AH113/S113&lt;#REF!,AH113,0)</f>
        <v>#REF!</v>
      </c>
      <c r="AQ113" s="11" t="e">
        <f>IF(AP113&gt;0,(#REF!*S113-AP113)*AE113/1000*1.302*4,0)</f>
        <v>#REF!</v>
      </c>
    </row>
    <row r="114" spans="1:43" x14ac:dyDescent="0.25">
      <c r="A114" s="8" t="s">
        <v>31</v>
      </c>
      <c r="B114" s="30" t="s">
        <v>374</v>
      </c>
      <c r="C114" s="8">
        <v>199</v>
      </c>
      <c r="D114" s="8">
        <v>211</v>
      </c>
      <c r="E114" s="8">
        <v>34</v>
      </c>
      <c r="F114" s="8">
        <f t="shared" si="22"/>
        <v>444</v>
      </c>
      <c r="G114" s="8">
        <v>2</v>
      </c>
      <c r="J114" s="8">
        <f t="shared" si="23"/>
        <v>2</v>
      </c>
      <c r="K114" s="8">
        <v>9</v>
      </c>
      <c r="L114" s="8">
        <v>2</v>
      </c>
      <c r="M114" s="8">
        <v>0</v>
      </c>
      <c r="N114" s="8">
        <f t="shared" si="24"/>
        <v>11</v>
      </c>
      <c r="O114" s="8">
        <v>8</v>
      </c>
      <c r="P114" s="8">
        <v>10</v>
      </c>
      <c r="Q114" s="8">
        <v>2</v>
      </c>
      <c r="R114" s="8">
        <f t="shared" si="25"/>
        <v>20</v>
      </c>
      <c r="S114" s="31">
        <v>1.5</v>
      </c>
      <c r="T114" s="30">
        <v>1.25</v>
      </c>
      <c r="U114" s="66">
        <f>IF(A114='Свод по районам'!$A$19,'Свод по районам'!$G$19,0)</f>
        <v>1.4181765086020945</v>
      </c>
      <c r="V114" s="30">
        <f t="shared" si="40"/>
        <v>1323.5</v>
      </c>
      <c r="W114" s="12">
        <f t="shared" si="41"/>
        <v>1015.4065573770494</v>
      </c>
      <c r="X114" s="11">
        <v>871.55499999999995</v>
      </c>
      <c r="Y114" s="17">
        <f t="shared" si="26"/>
        <v>451.94500000000005</v>
      </c>
      <c r="Z114" s="17">
        <f t="shared" si="27"/>
        <v>451.94500000000005</v>
      </c>
      <c r="AA114" s="17">
        <f t="shared" si="28"/>
        <v>0</v>
      </c>
      <c r="AB114" s="20">
        <f t="shared" si="29"/>
        <v>143.8515573770494</v>
      </c>
      <c r="AC114" s="17">
        <f t="shared" si="30"/>
        <v>143.8515573770494</v>
      </c>
      <c r="AD114" s="17">
        <f t="shared" si="31"/>
        <v>0</v>
      </c>
      <c r="AE114" s="8">
        <v>26</v>
      </c>
      <c r="AF114" s="28">
        <f t="shared" si="32"/>
        <v>50903.846153846156</v>
      </c>
      <c r="AG114" s="28">
        <f t="shared" si="42"/>
        <v>39054.098360655742</v>
      </c>
      <c r="AH114" s="28">
        <f t="shared" si="33"/>
        <v>33521.346153846156</v>
      </c>
      <c r="AI114" s="42">
        <f t="shared" si="34"/>
        <v>17382.5</v>
      </c>
      <c r="AJ114" s="44">
        <f t="shared" si="43"/>
        <v>33.888888888888886</v>
      </c>
      <c r="AK114" s="45">
        <f t="shared" si="36"/>
        <v>39054.098360655742</v>
      </c>
      <c r="AL114" s="45">
        <f t="shared" si="37"/>
        <v>25718.016393442624</v>
      </c>
      <c r="AM114" s="45">
        <f t="shared" si="38"/>
        <v>13336.081967213118</v>
      </c>
      <c r="AN114" s="23">
        <f t="shared" si="39"/>
        <v>1.3034188034188032</v>
      </c>
      <c r="AP114" s="20" t="e">
        <f>IF(AH114/S114&lt;#REF!,AH114,0)</f>
        <v>#REF!</v>
      </c>
      <c r="AQ114" s="11" t="e">
        <f>IF(AP114&gt;0,(#REF!*S114-AP114)*AE114/1000*1.302*4,0)</f>
        <v>#REF!</v>
      </c>
    </row>
    <row r="115" spans="1:43" x14ac:dyDescent="0.25">
      <c r="A115" s="8" t="s">
        <v>31</v>
      </c>
      <c r="B115" s="30" t="s">
        <v>373</v>
      </c>
      <c r="C115" s="8">
        <v>157</v>
      </c>
      <c r="D115" s="8">
        <v>176</v>
      </c>
      <c r="E115" s="8">
        <v>52</v>
      </c>
      <c r="F115" s="8">
        <f t="shared" si="22"/>
        <v>385</v>
      </c>
      <c r="G115" s="8">
        <v>3</v>
      </c>
      <c r="J115" s="8">
        <f t="shared" si="23"/>
        <v>3</v>
      </c>
      <c r="K115" s="8">
        <v>4</v>
      </c>
      <c r="L115" s="8">
        <v>5</v>
      </c>
      <c r="M115" s="8">
        <v>1</v>
      </c>
      <c r="N115" s="8">
        <f t="shared" si="24"/>
        <v>10</v>
      </c>
      <c r="O115" s="8">
        <v>8</v>
      </c>
      <c r="P115" s="8">
        <v>10</v>
      </c>
      <c r="Q115" s="8">
        <v>3</v>
      </c>
      <c r="R115" s="8">
        <f t="shared" si="25"/>
        <v>21</v>
      </c>
      <c r="S115" s="31">
        <v>1.5</v>
      </c>
      <c r="T115" s="30">
        <v>1.25</v>
      </c>
      <c r="U115" s="66">
        <f>IF(A115='Свод по районам'!$A$19,'Свод по районам'!$G$19,0)</f>
        <v>1.4181765086020945</v>
      </c>
      <c r="V115" s="30">
        <f t="shared" si="40"/>
        <v>1219.0999999999999</v>
      </c>
      <c r="W115" s="12">
        <f t="shared" si="41"/>
        <v>822.05366972477054</v>
      </c>
      <c r="X115" s="11">
        <v>816.83320000000003</v>
      </c>
      <c r="Y115" s="17">
        <f t="shared" si="26"/>
        <v>402.26679999999988</v>
      </c>
      <c r="Z115" s="17">
        <f t="shared" si="27"/>
        <v>402.26679999999988</v>
      </c>
      <c r="AA115" s="17">
        <f t="shared" si="28"/>
        <v>0</v>
      </c>
      <c r="AB115" s="20">
        <f t="shared" si="29"/>
        <v>5.2204697247705099</v>
      </c>
      <c r="AC115" s="17">
        <f t="shared" si="30"/>
        <v>5.2204697247705099</v>
      </c>
      <c r="AD115" s="17">
        <f t="shared" si="31"/>
        <v>0</v>
      </c>
      <c r="AE115" s="8">
        <v>24.5</v>
      </c>
      <c r="AF115" s="28">
        <f t="shared" si="32"/>
        <v>49759.183673469386</v>
      </c>
      <c r="AG115" s="28">
        <f t="shared" si="42"/>
        <v>33553.211009174302</v>
      </c>
      <c r="AH115" s="28">
        <f t="shared" si="33"/>
        <v>33340.130612244895</v>
      </c>
      <c r="AI115" s="42">
        <f t="shared" si="34"/>
        <v>16419.053061224491</v>
      </c>
      <c r="AJ115" s="44">
        <f t="shared" si="43"/>
        <v>36.333333333333336</v>
      </c>
      <c r="AK115" s="45">
        <f t="shared" si="36"/>
        <v>33553.211009174302</v>
      </c>
      <c r="AL115" s="45">
        <f t="shared" si="37"/>
        <v>22481.647706422016</v>
      </c>
      <c r="AM115" s="45">
        <f t="shared" si="38"/>
        <v>11071.563302752285</v>
      </c>
      <c r="AN115" s="23">
        <f t="shared" si="39"/>
        <v>1.4829931972789117</v>
      </c>
      <c r="AP115" s="20" t="e">
        <f>IF(AH115/S115&lt;#REF!,AH115,0)</f>
        <v>#REF!</v>
      </c>
      <c r="AQ115" s="11" t="e">
        <f>IF(AP115&gt;0,(#REF!*S115-AP115)*AE115/1000*1.302*4,0)</f>
        <v>#REF!</v>
      </c>
    </row>
    <row r="116" spans="1:43" x14ac:dyDescent="0.25">
      <c r="A116" s="8" t="s">
        <v>31</v>
      </c>
      <c r="B116" s="30" t="s">
        <v>376</v>
      </c>
      <c r="C116" s="8">
        <v>116</v>
      </c>
      <c r="D116" s="8">
        <v>109</v>
      </c>
      <c r="E116" s="8">
        <v>20</v>
      </c>
      <c r="F116" s="8">
        <f t="shared" si="22"/>
        <v>245</v>
      </c>
      <c r="G116" s="8">
        <v>2</v>
      </c>
      <c r="H116" s="8">
        <v>2</v>
      </c>
      <c r="J116" s="8">
        <f t="shared" si="23"/>
        <v>4</v>
      </c>
      <c r="K116" s="8">
        <v>8</v>
      </c>
      <c r="L116" s="8">
        <v>8</v>
      </c>
      <c r="M116" s="8">
        <v>0</v>
      </c>
      <c r="N116" s="8">
        <f t="shared" si="24"/>
        <v>16</v>
      </c>
      <c r="O116" s="8">
        <v>4</v>
      </c>
      <c r="P116" s="8">
        <v>6</v>
      </c>
      <c r="Q116" s="8">
        <v>2</v>
      </c>
      <c r="R116" s="8">
        <f t="shared" si="25"/>
        <v>12</v>
      </c>
      <c r="S116" s="31">
        <v>1.5</v>
      </c>
      <c r="T116" s="30">
        <v>1.25</v>
      </c>
      <c r="U116" s="66">
        <f>IF(A116='Свод по районам'!$A$19,'Свод по районам'!$G$19,0)</f>
        <v>1.4181765086020945</v>
      </c>
      <c r="V116" s="30">
        <f t="shared" si="40"/>
        <v>765.4</v>
      </c>
      <c r="W116" s="12">
        <f t="shared" si="41"/>
        <v>647.93762376237635</v>
      </c>
      <c r="X116" s="11">
        <v>624.76219999999989</v>
      </c>
      <c r="Y116" s="17">
        <f t="shared" si="26"/>
        <v>140.63780000000008</v>
      </c>
      <c r="Z116" s="17">
        <f t="shared" si="27"/>
        <v>140.63780000000008</v>
      </c>
      <c r="AA116" s="17">
        <f t="shared" si="28"/>
        <v>0</v>
      </c>
      <c r="AB116" s="20">
        <f t="shared" si="29"/>
        <v>23.175423762376454</v>
      </c>
      <c r="AC116" s="17">
        <f t="shared" si="30"/>
        <v>23.175423762376454</v>
      </c>
      <c r="AD116" s="17">
        <f t="shared" si="31"/>
        <v>0</v>
      </c>
      <c r="AE116" s="8">
        <v>19</v>
      </c>
      <c r="AF116" s="28">
        <f t="shared" si="32"/>
        <v>40284.210526315786</v>
      </c>
      <c r="AG116" s="28">
        <f t="shared" si="42"/>
        <v>34101.98019801981</v>
      </c>
      <c r="AH116" s="28">
        <f t="shared" si="33"/>
        <v>32882.221052631568</v>
      </c>
      <c r="AI116" s="42">
        <f t="shared" si="34"/>
        <v>7401.989473684218</v>
      </c>
      <c r="AJ116" s="44">
        <f t="shared" si="43"/>
        <v>22.444444444444443</v>
      </c>
      <c r="AK116" s="45">
        <f t="shared" si="36"/>
        <v>34101.980198019803</v>
      </c>
      <c r="AL116" s="45">
        <f t="shared" si="37"/>
        <v>27835.939603960393</v>
      </c>
      <c r="AM116" s="45">
        <f t="shared" si="38"/>
        <v>6266.0405940594101</v>
      </c>
      <c r="AN116" s="23">
        <f t="shared" si="39"/>
        <v>1.1812865497076022</v>
      </c>
      <c r="AP116" s="20" t="e">
        <f>IF(AH116/S116&lt;#REF!,AH116,0)</f>
        <v>#REF!</v>
      </c>
      <c r="AQ116" s="11" t="e">
        <f>IF(AP116&gt;0,(#REF!*S116-AP116)*AE116/1000*1.302*4,0)</f>
        <v>#REF!</v>
      </c>
    </row>
    <row r="117" spans="1:43" x14ac:dyDescent="0.25">
      <c r="A117" s="8" t="s">
        <v>31</v>
      </c>
      <c r="B117" s="30" t="s">
        <v>377</v>
      </c>
      <c r="C117" s="8">
        <v>91</v>
      </c>
      <c r="D117" s="8">
        <v>107</v>
      </c>
      <c r="E117" s="8">
        <v>17</v>
      </c>
      <c r="F117" s="8">
        <f t="shared" si="22"/>
        <v>215</v>
      </c>
      <c r="G117" s="8">
        <v>2</v>
      </c>
      <c r="H117" s="8">
        <v>1</v>
      </c>
      <c r="J117" s="8">
        <f t="shared" si="23"/>
        <v>3</v>
      </c>
      <c r="K117" s="8">
        <v>5</v>
      </c>
      <c r="L117" s="8">
        <v>7</v>
      </c>
      <c r="M117" s="8">
        <v>0</v>
      </c>
      <c r="N117" s="8">
        <f t="shared" si="24"/>
        <v>12</v>
      </c>
      <c r="O117" s="8">
        <v>4</v>
      </c>
      <c r="P117" s="8">
        <v>6</v>
      </c>
      <c r="Q117" s="8">
        <v>2</v>
      </c>
      <c r="R117" s="8">
        <f t="shared" si="25"/>
        <v>12</v>
      </c>
      <c r="S117" s="31">
        <v>1.5</v>
      </c>
      <c r="T117" s="30">
        <v>1.25</v>
      </c>
      <c r="U117" s="66">
        <f>IF(A117='Свод по районам'!$A$19,'Свод по районам'!$G$19,0)</f>
        <v>1.4181765086020945</v>
      </c>
      <c r="V117" s="30">
        <f t="shared" si="40"/>
        <v>674.3</v>
      </c>
      <c r="W117" s="12">
        <f t="shared" si="41"/>
        <v>525.02748091603053</v>
      </c>
      <c r="X117" s="11">
        <v>557.08499999999992</v>
      </c>
      <c r="Y117" s="17">
        <f t="shared" si="26"/>
        <v>117.21500000000003</v>
      </c>
      <c r="Z117" s="17">
        <f t="shared" si="27"/>
        <v>117.21500000000003</v>
      </c>
      <c r="AA117" s="17">
        <f t="shared" si="28"/>
        <v>0</v>
      </c>
      <c r="AB117" s="20">
        <f t="shared" si="29"/>
        <v>-32.057519083969396</v>
      </c>
      <c r="AC117" s="17">
        <f t="shared" si="30"/>
        <v>0</v>
      </c>
      <c r="AD117" s="17">
        <f t="shared" si="31"/>
        <v>-32.057519083969396</v>
      </c>
      <c r="AE117" s="8">
        <v>17</v>
      </c>
      <c r="AF117" s="28">
        <f t="shared" si="32"/>
        <v>39664.705882352944</v>
      </c>
      <c r="AG117" s="28">
        <f t="shared" si="42"/>
        <v>30883.969465648854</v>
      </c>
      <c r="AH117" s="28">
        <f t="shared" si="33"/>
        <v>32769.705882352937</v>
      </c>
      <c r="AI117" s="42">
        <f t="shared" si="34"/>
        <v>6895.0000000000073</v>
      </c>
      <c r="AJ117" s="44">
        <f t="shared" si="43"/>
        <v>21.833333333333332</v>
      </c>
      <c r="AK117" s="45">
        <f t="shared" si="36"/>
        <v>30883.969465648854</v>
      </c>
      <c r="AL117" s="45">
        <f t="shared" si="37"/>
        <v>25515.343511450377</v>
      </c>
      <c r="AM117" s="45">
        <f t="shared" si="38"/>
        <v>5368.6259541984764</v>
      </c>
      <c r="AN117" s="23">
        <f t="shared" si="39"/>
        <v>1.284313725490196</v>
      </c>
      <c r="AP117" s="20" t="e">
        <f>IF(AH117/S117&lt;#REF!,AH117,0)</f>
        <v>#REF!</v>
      </c>
      <c r="AQ117" s="11" t="e">
        <f>IF(AP117&gt;0,(#REF!*S117-AP117)*AE117/1000*1.302*4,0)</f>
        <v>#REF!</v>
      </c>
    </row>
    <row r="118" spans="1:43" x14ac:dyDescent="0.25">
      <c r="A118" s="8" t="s">
        <v>31</v>
      </c>
      <c r="B118" s="30" t="s">
        <v>379</v>
      </c>
      <c r="C118" s="8">
        <v>97</v>
      </c>
      <c r="D118" s="8">
        <v>70</v>
      </c>
      <c r="E118" s="8">
        <v>17</v>
      </c>
      <c r="F118" s="8">
        <f t="shared" si="22"/>
        <v>184</v>
      </c>
      <c r="G118" s="8">
        <v>4</v>
      </c>
      <c r="H118" s="8">
        <v>2</v>
      </c>
      <c r="J118" s="8">
        <f t="shared" si="23"/>
        <v>6</v>
      </c>
      <c r="K118" s="8">
        <v>10</v>
      </c>
      <c r="L118" s="8">
        <v>7</v>
      </c>
      <c r="M118" s="8">
        <v>0</v>
      </c>
      <c r="N118" s="8">
        <f t="shared" si="24"/>
        <v>17</v>
      </c>
      <c r="O118" s="8">
        <v>5</v>
      </c>
      <c r="P118" s="8">
        <v>5</v>
      </c>
      <c r="Q118" s="8">
        <v>2</v>
      </c>
      <c r="R118" s="8">
        <f t="shared" si="25"/>
        <v>12</v>
      </c>
      <c r="S118" s="31">
        <v>1.5</v>
      </c>
      <c r="T118" s="30">
        <v>1.25</v>
      </c>
      <c r="U118" s="66">
        <f>IF(A118='Свод по районам'!$A$19,'Свод по районам'!$G$19,0)</f>
        <v>1.4181765086020945</v>
      </c>
      <c r="V118" s="30">
        <f t="shared" si="40"/>
        <v>600.29999999999995</v>
      </c>
      <c r="W118" s="12">
        <f t="shared" si="41"/>
        <v>341.77664233576638</v>
      </c>
      <c r="X118" s="11">
        <v>464.94380000000001</v>
      </c>
      <c r="Y118" s="17">
        <f t="shared" si="26"/>
        <v>135.35619999999994</v>
      </c>
      <c r="Z118" s="17">
        <f t="shared" si="27"/>
        <v>135.35619999999994</v>
      </c>
      <c r="AA118" s="17">
        <f t="shared" si="28"/>
        <v>0</v>
      </c>
      <c r="AB118" s="20">
        <f t="shared" si="29"/>
        <v>-123.16715766423363</v>
      </c>
      <c r="AC118" s="17">
        <f t="shared" si="30"/>
        <v>0</v>
      </c>
      <c r="AD118" s="17">
        <f t="shared" si="31"/>
        <v>-123.16715766423363</v>
      </c>
      <c r="AE118" s="8">
        <v>13</v>
      </c>
      <c r="AF118" s="28">
        <f t="shared" si="32"/>
        <v>46176.923076923078</v>
      </c>
      <c r="AG118" s="28">
        <f t="shared" si="42"/>
        <v>26290.510948905106</v>
      </c>
      <c r="AH118" s="28">
        <f t="shared" si="33"/>
        <v>35764.907692307694</v>
      </c>
      <c r="AI118" s="42">
        <f t="shared" si="34"/>
        <v>10412.015384615384</v>
      </c>
      <c r="AJ118" s="44">
        <f t="shared" si="43"/>
        <v>22.833333333333332</v>
      </c>
      <c r="AK118" s="45">
        <f t="shared" si="36"/>
        <v>26290.51094890511</v>
      </c>
      <c r="AL118" s="45">
        <f t="shared" si="37"/>
        <v>20362.502189781022</v>
      </c>
      <c r="AM118" s="45">
        <f t="shared" si="38"/>
        <v>5928.0087591240881</v>
      </c>
      <c r="AN118" s="23">
        <f t="shared" si="39"/>
        <v>1.7564102564102564</v>
      </c>
      <c r="AP118" s="20" t="e">
        <f>IF(AH118/S118&lt;#REF!,AH118,0)</f>
        <v>#REF!</v>
      </c>
      <c r="AQ118" s="11" t="e">
        <f>IF(AP118&gt;0,(#REF!*S118-AP118)*AE118/1000*1.302*4,0)</f>
        <v>#REF!</v>
      </c>
    </row>
    <row r="119" spans="1:43" x14ac:dyDescent="0.25">
      <c r="A119" s="8" t="s">
        <v>31</v>
      </c>
      <c r="B119" s="30" t="s">
        <v>378</v>
      </c>
      <c r="C119" s="8">
        <v>69</v>
      </c>
      <c r="D119" s="8">
        <v>78</v>
      </c>
      <c r="E119" s="8">
        <v>4</v>
      </c>
      <c r="F119" s="8">
        <f t="shared" si="22"/>
        <v>151</v>
      </c>
      <c r="G119" s="8">
        <v>1</v>
      </c>
      <c r="H119" s="8">
        <v>4</v>
      </c>
      <c r="J119" s="8">
        <f t="shared" si="23"/>
        <v>5</v>
      </c>
      <c r="K119" s="8">
        <v>1</v>
      </c>
      <c r="L119" s="8">
        <v>3</v>
      </c>
      <c r="M119" s="8">
        <v>0</v>
      </c>
      <c r="N119" s="8">
        <f t="shared" si="24"/>
        <v>4</v>
      </c>
      <c r="O119" s="8">
        <v>4</v>
      </c>
      <c r="P119" s="8">
        <v>5</v>
      </c>
      <c r="Q119" s="8">
        <v>2</v>
      </c>
      <c r="R119" s="8">
        <f t="shared" si="25"/>
        <v>11</v>
      </c>
      <c r="S119" s="31">
        <v>1.5</v>
      </c>
      <c r="T119" s="30">
        <v>1.25</v>
      </c>
      <c r="U119" s="66">
        <f>IF(A119='Свод по районам'!$A$19,'Свод по районам'!$G$19,0)</f>
        <v>1.4181765086020945</v>
      </c>
      <c r="V119" s="30">
        <f t="shared" si="40"/>
        <v>488.8</v>
      </c>
      <c r="W119" s="12">
        <f t="shared" si="41"/>
        <v>411.35376623376624</v>
      </c>
      <c r="X119" s="11">
        <v>408.39580000000001</v>
      </c>
      <c r="Y119" s="17">
        <f t="shared" si="26"/>
        <v>80.404200000000003</v>
      </c>
      <c r="Z119" s="17">
        <f t="shared" si="27"/>
        <v>80.404200000000003</v>
      </c>
      <c r="AA119" s="17">
        <f t="shared" si="28"/>
        <v>0</v>
      </c>
      <c r="AB119" s="20">
        <f t="shared" si="29"/>
        <v>2.9579662337662285</v>
      </c>
      <c r="AC119" s="17">
        <f t="shared" si="30"/>
        <v>2.9579662337662285</v>
      </c>
      <c r="AD119" s="17">
        <f t="shared" si="31"/>
        <v>0</v>
      </c>
      <c r="AE119" s="8">
        <v>18</v>
      </c>
      <c r="AF119" s="28">
        <f t="shared" si="32"/>
        <v>27155.555555555555</v>
      </c>
      <c r="AG119" s="28">
        <f t="shared" si="42"/>
        <v>22852.987012987014</v>
      </c>
      <c r="AH119" s="28">
        <f t="shared" si="33"/>
        <v>22688.655555555557</v>
      </c>
      <c r="AI119" s="42">
        <f t="shared" si="34"/>
        <v>4466.8999999999978</v>
      </c>
      <c r="AJ119" s="44">
        <f t="shared" si="43"/>
        <v>21.388888888888889</v>
      </c>
      <c r="AK119" s="45">
        <f t="shared" si="36"/>
        <v>22852.987012987014</v>
      </c>
      <c r="AL119" s="45">
        <f t="shared" si="37"/>
        <v>19093.829610389614</v>
      </c>
      <c r="AM119" s="45">
        <f t="shared" si="38"/>
        <v>3759.1574025974005</v>
      </c>
      <c r="AN119" s="23">
        <f t="shared" si="39"/>
        <v>1.1882716049382716</v>
      </c>
      <c r="AP119" s="20" t="e">
        <f>IF(AH119/S119&lt;#REF!,AH119,0)</f>
        <v>#REF!</v>
      </c>
      <c r="AQ119" s="11" t="e">
        <f>IF(AP119&gt;0,(#REF!*S119-AP119)*AE119/1000*1.302*4,0)</f>
        <v>#REF!</v>
      </c>
    </row>
    <row r="120" spans="1:43" x14ac:dyDescent="0.25">
      <c r="A120" s="8" t="s">
        <v>31</v>
      </c>
      <c r="B120" s="30" t="s">
        <v>381</v>
      </c>
      <c r="C120" s="8">
        <v>62</v>
      </c>
      <c r="D120" s="8">
        <v>73</v>
      </c>
      <c r="E120" s="8">
        <v>11</v>
      </c>
      <c r="F120" s="8">
        <f t="shared" si="22"/>
        <v>146</v>
      </c>
      <c r="J120" s="8">
        <f t="shared" si="23"/>
        <v>0</v>
      </c>
      <c r="K120" s="8">
        <v>4</v>
      </c>
      <c r="L120" s="8">
        <v>2</v>
      </c>
      <c r="M120" s="8">
        <v>0</v>
      </c>
      <c r="N120" s="8">
        <f t="shared" si="24"/>
        <v>6</v>
      </c>
      <c r="O120" s="8">
        <v>4</v>
      </c>
      <c r="P120" s="8">
        <v>5</v>
      </c>
      <c r="Q120" s="8">
        <v>2</v>
      </c>
      <c r="R120" s="8">
        <f t="shared" si="25"/>
        <v>11</v>
      </c>
      <c r="S120" s="31">
        <v>1.5</v>
      </c>
      <c r="T120" s="30">
        <v>1.25</v>
      </c>
      <c r="U120" s="66">
        <f>IF(A120='Свод по районам'!$A$19,'Свод по районам'!$G$19,0)</f>
        <v>1.4181765086020945</v>
      </c>
      <c r="V120" s="30">
        <f t="shared" si="40"/>
        <v>433.6</v>
      </c>
      <c r="W120" s="12">
        <f t="shared" si="41"/>
        <v>234.37837837837839</v>
      </c>
      <c r="X120" s="11">
        <v>330.77510000000001</v>
      </c>
      <c r="Y120" s="17">
        <f t="shared" si="26"/>
        <v>102.82490000000001</v>
      </c>
      <c r="Z120" s="17">
        <f t="shared" si="27"/>
        <v>102.82490000000001</v>
      </c>
      <c r="AA120" s="17">
        <f t="shared" si="28"/>
        <v>0</v>
      </c>
      <c r="AB120" s="20">
        <f t="shared" si="29"/>
        <v>-96.396721621621623</v>
      </c>
      <c r="AC120" s="17">
        <f t="shared" si="30"/>
        <v>0</v>
      </c>
      <c r="AD120" s="17">
        <f t="shared" si="31"/>
        <v>-96.396721621621623</v>
      </c>
      <c r="AE120" s="8">
        <v>10</v>
      </c>
      <c r="AF120" s="28">
        <f t="shared" si="32"/>
        <v>43360</v>
      </c>
      <c r="AG120" s="28">
        <f t="shared" si="42"/>
        <v>23437.83783783784</v>
      </c>
      <c r="AH120" s="28">
        <f t="shared" si="33"/>
        <v>33077.51</v>
      </c>
      <c r="AI120" s="42">
        <f t="shared" si="34"/>
        <v>10282.489999999998</v>
      </c>
      <c r="AJ120" s="44">
        <f t="shared" si="43"/>
        <v>18.5</v>
      </c>
      <c r="AK120" s="45">
        <f t="shared" si="36"/>
        <v>23437.83783783784</v>
      </c>
      <c r="AL120" s="45">
        <f t="shared" si="37"/>
        <v>17879.735135135135</v>
      </c>
      <c r="AM120" s="45">
        <f t="shared" si="38"/>
        <v>5558.1027027027048</v>
      </c>
      <c r="AN120" s="23">
        <f t="shared" si="39"/>
        <v>1.85</v>
      </c>
      <c r="AP120" s="20" t="e">
        <f>IF(AH120/S120&lt;#REF!,AH120,0)</f>
        <v>#REF!</v>
      </c>
      <c r="AQ120" s="11" t="e">
        <f>IF(AP120&gt;0,(#REF!*S120-AP120)*AE120/1000*1.302*4,0)</f>
        <v>#REF!</v>
      </c>
    </row>
    <row r="121" spans="1:43" x14ac:dyDescent="0.25">
      <c r="A121" s="8" t="s">
        <v>31</v>
      </c>
      <c r="B121" s="30" t="s">
        <v>380</v>
      </c>
      <c r="C121" s="8">
        <v>62</v>
      </c>
      <c r="D121" s="8">
        <v>50</v>
      </c>
      <c r="E121" s="8">
        <v>7</v>
      </c>
      <c r="F121" s="8">
        <f t="shared" si="22"/>
        <v>119</v>
      </c>
      <c r="H121" s="8">
        <v>1</v>
      </c>
      <c r="J121" s="8">
        <f t="shared" si="23"/>
        <v>1</v>
      </c>
      <c r="K121" s="8">
        <v>3</v>
      </c>
      <c r="L121" s="8">
        <v>0</v>
      </c>
      <c r="M121" s="8">
        <v>0</v>
      </c>
      <c r="N121" s="8">
        <f t="shared" si="24"/>
        <v>3</v>
      </c>
      <c r="O121" s="8">
        <v>4</v>
      </c>
      <c r="P121" s="8">
        <v>5</v>
      </c>
      <c r="Q121" s="8">
        <v>2</v>
      </c>
      <c r="R121" s="8">
        <f t="shared" si="25"/>
        <v>11</v>
      </c>
      <c r="S121" s="31">
        <v>1.5</v>
      </c>
      <c r="T121" s="30">
        <v>1.25</v>
      </c>
      <c r="U121" s="66">
        <f>IF(A121='Свод по районам'!$A$19,'Свод по районам'!$G$19,0)</f>
        <v>1.4181765086020945</v>
      </c>
      <c r="V121" s="30">
        <f t="shared" si="40"/>
        <v>348.9</v>
      </c>
      <c r="W121" s="12">
        <f t="shared" si="41"/>
        <v>237.33313953488371</v>
      </c>
      <c r="X121" s="11">
        <v>316.89430000000004</v>
      </c>
      <c r="Y121" s="17">
        <f t="shared" si="26"/>
        <v>32.005699999999933</v>
      </c>
      <c r="Z121" s="17">
        <f t="shared" si="27"/>
        <v>32.005699999999933</v>
      </c>
      <c r="AA121" s="17">
        <f t="shared" si="28"/>
        <v>0</v>
      </c>
      <c r="AB121" s="20">
        <f t="shared" si="29"/>
        <v>-79.56116046511633</v>
      </c>
      <c r="AC121" s="17">
        <f t="shared" si="30"/>
        <v>0</v>
      </c>
      <c r="AD121" s="17">
        <f t="shared" si="31"/>
        <v>-79.56116046511633</v>
      </c>
      <c r="AE121" s="8">
        <v>13</v>
      </c>
      <c r="AF121" s="28">
        <f t="shared" si="32"/>
        <v>26838.461538461539</v>
      </c>
      <c r="AG121" s="28">
        <f t="shared" si="42"/>
        <v>18256.39534883721</v>
      </c>
      <c r="AH121" s="28">
        <f t="shared" si="33"/>
        <v>24376.484615384619</v>
      </c>
      <c r="AI121" s="42">
        <f t="shared" si="34"/>
        <v>2461.9769230769198</v>
      </c>
      <c r="AJ121" s="44">
        <f t="shared" si="43"/>
        <v>19.111111111111111</v>
      </c>
      <c r="AK121" s="45">
        <f t="shared" si="36"/>
        <v>18256.39534883721</v>
      </c>
      <c r="AL121" s="45">
        <f t="shared" si="37"/>
        <v>16581.678488372094</v>
      </c>
      <c r="AM121" s="45">
        <f t="shared" si="38"/>
        <v>1674.716860465116</v>
      </c>
      <c r="AN121" s="23">
        <f t="shared" si="39"/>
        <v>1.47008547008547</v>
      </c>
      <c r="AP121" s="20" t="e">
        <f>IF(AH121/S121&lt;#REF!,AH121,0)</f>
        <v>#REF!</v>
      </c>
      <c r="AQ121" s="11" t="e">
        <f>IF(AP121&gt;0,(#REF!*S121-AP121)*AE121/1000*1.302*4,0)</f>
        <v>#REF!</v>
      </c>
    </row>
    <row r="122" spans="1:43" x14ac:dyDescent="0.25">
      <c r="A122" s="8" t="s">
        <v>32</v>
      </c>
      <c r="B122" s="30" t="s">
        <v>382</v>
      </c>
      <c r="C122" s="8">
        <v>208</v>
      </c>
      <c r="D122" s="8">
        <v>223</v>
      </c>
      <c r="E122" s="8">
        <v>56</v>
      </c>
      <c r="F122" s="8">
        <f t="shared" si="22"/>
        <v>487</v>
      </c>
      <c r="G122" s="8">
        <v>3</v>
      </c>
      <c r="H122" s="8">
        <v>5</v>
      </c>
      <c r="J122" s="8">
        <f t="shared" si="23"/>
        <v>8</v>
      </c>
      <c r="K122" s="8">
        <v>8</v>
      </c>
      <c r="L122" s="8">
        <v>4</v>
      </c>
      <c r="M122" s="8">
        <v>1</v>
      </c>
      <c r="N122" s="8">
        <f t="shared" si="24"/>
        <v>13</v>
      </c>
      <c r="O122" s="8">
        <v>9</v>
      </c>
      <c r="P122" s="8">
        <v>10</v>
      </c>
      <c r="Q122" s="8">
        <v>2</v>
      </c>
      <c r="R122" s="8">
        <f t="shared" si="25"/>
        <v>21</v>
      </c>
      <c r="S122" s="31">
        <v>1.8</v>
      </c>
      <c r="T122" s="30">
        <v>1.25</v>
      </c>
      <c r="U122" s="66">
        <f>IF(A122='Свод по районам'!$A$20,'Свод по районам'!$G$20,0)</f>
        <v>1.6117283950617285</v>
      </c>
      <c r="V122" s="30">
        <f t="shared" si="40"/>
        <v>1882.6</v>
      </c>
      <c r="W122" s="12">
        <f t="shared" si="41"/>
        <v>1458.5423242467721</v>
      </c>
      <c r="X122" s="11">
        <v>1336.4</v>
      </c>
      <c r="Y122" s="17">
        <f t="shared" si="26"/>
        <v>546.19999999999982</v>
      </c>
      <c r="Z122" s="17">
        <f t="shared" si="27"/>
        <v>546.19999999999982</v>
      </c>
      <c r="AA122" s="17">
        <f t="shared" si="28"/>
        <v>0</v>
      </c>
      <c r="AB122" s="20">
        <f t="shared" si="29"/>
        <v>122.14232424677198</v>
      </c>
      <c r="AC122" s="17">
        <f t="shared" si="30"/>
        <v>122.14232424677198</v>
      </c>
      <c r="AD122" s="17">
        <f t="shared" si="31"/>
        <v>0</v>
      </c>
      <c r="AE122" s="8">
        <v>30</v>
      </c>
      <c r="AF122" s="28">
        <f t="shared" si="32"/>
        <v>62753.333333333328</v>
      </c>
      <c r="AG122" s="28">
        <f t="shared" si="42"/>
        <v>48618.077474892401</v>
      </c>
      <c r="AH122" s="28">
        <f t="shared" si="33"/>
        <v>44546.666666666664</v>
      </c>
      <c r="AI122" s="42">
        <f t="shared" si="34"/>
        <v>18206.666666666664</v>
      </c>
      <c r="AJ122" s="44">
        <f t="shared" si="43"/>
        <v>38.722222222222214</v>
      </c>
      <c r="AK122" s="45">
        <f t="shared" si="36"/>
        <v>48618.077474892401</v>
      </c>
      <c r="AL122" s="45">
        <f t="shared" si="37"/>
        <v>34512.482065997137</v>
      </c>
      <c r="AM122" s="45">
        <f t="shared" si="38"/>
        <v>14105.595408895264</v>
      </c>
      <c r="AN122" s="23">
        <f t="shared" si="39"/>
        <v>1.2907407407407405</v>
      </c>
      <c r="AP122" s="20" t="e">
        <f>IF(AH122/S122&lt;#REF!,AH122,0)</f>
        <v>#REF!</v>
      </c>
      <c r="AQ122" s="11" t="e">
        <f>IF(AP122&gt;0,(#REF!*S122-AP122)*AE122/1000*1.302*4,0)</f>
        <v>#REF!</v>
      </c>
    </row>
    <row r="123" spans="1:43" x14ac:dyDescent="0.25">
      <c r="A123" s="8" t="s">
        <v>33</v>
      </c>
      <c r="B123" s="30" t="s">
        <v>391</v>
      </c>
      <c r="C123" s="8">
        <v>314</v>
      </c>
      <c r="D123" s="8">
        <v>329</v>
      </c>
      <c r="E123" s="8">
        <v>49</v>
      </c>
      <c r="F123" s="8">
        <f t="shared" si="22"/>
        <v>692</v>
      </c>
      <c r="G123" s="8">
        <v>2</v>
      </c>
      <c r="H123" s="8">
        <v>5</v>
      </c>
      <c r="J123" s="8">
        <f t="shared" si="23"/>
        <v>7</v>
      </c>
      <c r="K123" s="8">
        <v>10</v>
      </c>
      <c r="L123" s="8">
        <v>5</v>
      </c>
      <c r="M123" s="8">
        <v>1</v>
      </c>
      <c r="N123" s="8">
        <f t="shared" si="24"/>
        <v>16</v>
      </c>
      <c r="O123" s="8">
        <v>11</v>
      </c>
      <c r="P123" s="8">
        <v>12</v>
      </c>
      <c r="Q123" s="8">
        <v>2</v>
      </c>
      <c r="R123" s="8">
        <f t="shared" si="25"/>
        <v>25</v>
      </c>
      <c r="S123" s="31">
        <v>1.5</v>
      </c>
      <c r="T123" s="30">
        <v>1.25</v>
      </c>
      <c r="U123" s="66">
        <f>IF(A123='Свод по районам'!$A$21,'Свод по районам'!$G$21,0)</f>
        <v>1.519849143706421</v>
      </c>
      <c r="V123" s="30">
        <f t="shared" si="40"/>
        <v>2104</v>
      </c>
      <c r="W123" s="12">
        <f t="shared" si="41"/>
        <v>1650.7098381070984</v>
      </c>
      <c r="X123" s="11">
        <v>1347.2</v>
      </c>
      <c r="Y123" s="17">
        <f t="shared" si="26"/>
        <v>756.8</v>
      </c>
      <c r="Z123" s="17">
        <f t="shared" si="27"/>
        <v>756.8</v>
      </c>
      <c r="AA123" s="17">
        <f t="shared" si="28"/>
        <v>0</v>
      </c>
      <c r="AB123" s="20">
        <f t="shared" si="29"/>
        <v>303.5098381070984</v>
      </c>
      <c r="AC123" s="17">
        <f t="shared" si="30"/>
        <v>303.5098381070984</v>
      </c>
      <c r="AD123" s="17">
        <f t="shared" si="31"/>
        <v>0</v>
      </c>
      <c r="AE123" s="8">
        <v>35</v>
      </c>
      <c r="AF123" s="28">
        <f t="shared" si="32"/>
        <v>60114.285714285717</v>
      </c>
      <c r="AG123" s="28">
        <f t="shared" si="42"/>
        <v>47163.138231631383</v>
      </c>
      <c r="AH123" s="28">
        <f t="shared" si="33"/>
        <v>38491.428571428572</v>
      </c>
      <c r="AI123" s="42">
        <f t="shared" si="34"/>
        <v>21622.857142857145</v>
      </c>
      <c r="AJ123" s="44">
        <f t="shared" si="43"/>
        <v>44.611111111111107</v>
      </c>
      <c r="AK123" s="45">
        <f t="shared" si="36"/>
        <v>47163.138231631383</v>
      </c>
      <c r="AL123" s="45">
        <f t="shared" si="37"/>
        <v>30198.754669987549</v>
      </c>
      <c r="AM123" s="45">
        <f t="shared" si="38"/>
        <v>16964.383561643834</v>
      </c>
      <c r="AN123" s="23">
        <f t="shared" si="39"/>
        <v>1.2746031746031745</v>
      </c>
      <c r="AP123" s="20" t="e">
        <f>IF(AH123/S123&lt;#REF!,AH123,0)</f>
        <v>#REF!</v>
      </c>
      <c r="AQ123" s="11" t="e">
        <f>IF(AP123&gt;0,(#REF!*S123-AP123)*AE123/1000*1.302*4,0)</f>
        <v>#REF!</v>
      </c>
    </row>
    <row r="124" spans="1:43" x14ac:dyDescent="0.25">
      <c r="A124" s="8" t="s">
        <v>33</v>
      </c>
      <c r="B124" s="30" t="s">
        <v>386</v>
      </c>
      <c r="C124" s="8">
        <v>384</v>
      </c>
      <c r="D124" s="8">
        <v>403</v>
      </c>
      <c r="E124" s="8">
        <v>44</v>
      </c>
      <c r="F124" s="8">
        <f t="shared" si="22"/>
        <v>831</v>
      </c>
      <c r="G124" s="8">
        <v>4</v>
      </c>
      <c r="H124" s="8">
        <v>3</v>
      </c>
      <c r="I124" s="8">
        <v>1</v>
      </c>
      <c r="J124" s="8">
        <f t="shared" si="23"/>
        <v>8</v>
      </c>
      <c r="K124" s="8">
        <v>21</v>
      </c>
      <c r="L124" s="8">
        <v>2</v>
      </c>
      <c r="M124" s="8">
        <v>2</v>
      </c>
      <c r="N124" s="8">
        <f t="shared" si="24"/>
        <v>25</v>
      </c>
      <c r="O124" s="8">
        <v>13</v>
      </c>
      <c r="P124" s="8">
        <v>16</v>
      </c>
      <c r="Q124" s="8">
        <v>2</v>
      </c>
      <c r="R124" s="8">
        <f t="shared" si="25"/>
        <v>31</v>
      </c>
      <c r="S124" s="31">
        <v>1.5</v>
      </c>
      <c r="T124" s="30">
        <v>1.25</v>
      </c>
      <c r="U124" s="66">
        <f>IF(A124='Свод по районам'!$A$21,'Свод по районам'!$G$21,0)</f>
        <v>1.519849143706421</v>
      </c>
      <c r="V124" s="30">
        <f t="shared" si="40"/>
        <v>2483.8000000000002</v>
      </c>
      <c r="W124" s="12">
        <f t="shared" si="41"/>
        <v>1889.5966835187057</v>
      </c>
      <c r="X124" s="11">
        <v>1814.0000000000002</v>
      </c>
      <c r="Y124" s="17">
        <f t="shared" si="26"/>
        <v>669.8</v>
      </c>
      <c r="Z124" s="17">
        <f t="shared" si="27"/>
        <v>669.8</v>
      </c>
      <c r="AA124" s="17">
        <f t="shared" si="28"/>
        <v>0</v>
      </c>
      <c r="AB124" s="20">
        <f t="shared" si="29"/>
        <v>75.596683518705504</v>
      </c>
      <c r="AC124" s="17">
        <f t="shared" si="30"/>
        <v>75.596683518705504</v>
      </c>
      <c r="AD124" s="17">
        <f t="shared" si="31"/>
        <v>0</v>
      </c>
      <c r="AE124" s="8">
        <v>41.8</v>
      </c>
      <c r="AF124" s="28">
        <f t="shared" si="32"/>
        <v>59421.052631578954</v>
      </c>
      <c r="AG124" s="28">
        <f t="shared" si="42"/>
        <v>45205.662285136503</v>
      </c>
      <c r="AH124" s="28">
        <f t="shared" si="33"/>
        <v>43397.129186602884</v>
      </c>
      <c r="AI124" s="42">
        <f t="shared" si="34"/>
        <v>16023.92344497607</v>
      </c>
      <c r="AJ124" s="44">
        <f t="shared" si="43"/>
        <v>54.944444444444443</v>
      </c>
      <c r="AK124" s="45">
        <f t="shared" si="36"/>
        <v>45205.662285136503</v>
      </c>
      <c r="AL124" s="45">
        <f t="shared" si="37"/>
        <v>33015.166835187061</v>
      </c>
      <c r="AM124" s="45">
        <f t="shared" si="38"/>
        <v>12190.495449949442</v>
      </c>
      <c r="AN124" s="23">
        <f t="shared" si="39"/>
        <v>1.3144603934077619</v>
      </c>
      <c r="AP124" s="20" t="e">
        <f>IF(AH124/S124&lt;#REF!,AH124,0)</f>
        <v>#REF!</v>
      </c>
      <c r="AQ124" s="11" t="e">
        <f>IF(AP124&gt;0,(#REF!*S124-AP124)*AE124/1000*1.302*4,0)</f>
        <v>#REF!</v>
      </c>
    </row>
    <row r="125" spans="1:43" x14ac:dyDescent="0.25">
      <c r="A125" s="8" t="s">
        <v>33</v>
      </c>
      <c r="B125" s="30" t="s">
        <v>387</v>
      </c>
      <c r="C125" s="8">
        <v>166</v>
      </c>
      <c r="D125" s="8">
        <v>206</v>
      </c>
      <c r="E125" s="8">
        <v>55</v>
      </c>
      <c r="F125" s="8">
        <f t="shared" si="22"/>
        <v>427</v>
      </c>
      <c r="G125" s="8">
        <v>1</v>
      </c>
      <c r="H125" s="8">
        <v>1</v>
      </c>
      <c r="J125" s="8">
        <f t="shared" si="23"/>
        <v>2</v>
      </c>
      <c r="K125" s="8">
        <v>1</v>
      </c>
      <c r="L125" s="8">
        <v>0</v>
      </c>
      <c r="M125" s="8">
        <v>0</v>
      </c>
      <c r="N125" s="8">
        <f t="shared" si="24"/>
        <v>1</v>
      </c>
      <c r="O125" s="8">
        <v>8</v>
      </c>
      <c r="P125" s="8">
        <v>9</v>
      </c>
      <c r="Q125" s="8">
        <v>3</v>
      </c>
      <c r="R125" s="8">
        <f t="shared" si="25"/>
        <v>20</v>
      </c>
      <c r="S125" s="31">
        <v>1.5</v>
      </c>
      <c r="T125" s="30">
        <v>1.25</v>
      </c>
      <c r="U125" s="66">
        <f>IF(A125='Свод по районам'!$A$21,'Свод по районам'!$G$21,0)</f>
        <v>1.519849143706421</v>
      </c>
      <c r="V125" s="30">
        <f t="shared" si="40"/>
        <v>1340.1</v>
      </c>
      <c r="W125" s="12">
        <f t="shared" si="41"/>
        <v>1116.0248376623376</v>
      </c>
      <c r="X125" s="11">
        <v>823.80000000000007</v>
      </c>
      <c r="Y125" s="17">
        <f t="shared" si="26"/>
        <v>516.29999999999984</v>
      </c>
      <c r="Z125" s="17">
        <f t="shared" si="27"/>
        <v>516.29999999999984</v>
      </c>
      <c r="AA125" s="17">
        <f t="shared" si="28"/>
        <v>0</v>
      </c>
      <c r="AB125" s="20">
        <f t="shared" si="29"/>
        <v>292.22483766233756</v>
      </c>
      <c r="AC125" s="17">
        <f t="shared" si="30"/>
        <v>292.22483766233756</v>
      </c>
      <c r="AD125" s="17">
        <f t="shared" si="31"/>
        <v>0</v>
      </c>
      <c r="AE125" s="8">
        <v>28.5</v>
      </c>
      <c r="AF125" s="28">
        <f t="shared" si="32"/>
        <v>47021.052631578947</v>
      </c>
      <c r="AG125" s="28">
        <f t="shared" si="42"/>
        <v>39158.766233766226</v>
      </c>
      <c r="AH125" s="28">
        <f t="shared" si="33"/>
        <v>28905.26315789474</v>
      </c>
      <c r="AI125" s="42">
        <f t="shared" si="34"/>
        <v>18115.789473684206</v>
      </c>
      <c r="AJ125" s="44">
        <f t="shared" si="43"/>
        <v>34.222222222222221</v>
      </c>
      <c r="AK125" s="45">
        <f t="shared" si="36"/>
        <v>39158.766233766226</v>
      </c>
      <c r="AL125" s="45">
        <f t="shared" si="37"/>
        <v>24072.077922077922</v>
      </c>
      <c r="AM125" s="45">
        <f t="shared" si="38"/>
        <v>15086.688311688304</v>
      </c>
      <c r="AN125" s="23">
        <f t="shared" si="39"/>
        <v>1.2007797270955165</v>
      </c>
      <c r="AP125" s="20" t="e">
        <f>IF(AH125/S125&lt;#REF!,AH125,0)</f>
        <v>#REF!</v>
      </c>
      <c r="AQ125" s="11" t="e">
        <f>IF(AP125&gt;0,(#REF!*S125-AP125)*AE125/1000*1.302*4,0)</f>
        <v>#REF!</v>
      </c>
    </row>
    <row r="126" spans="1:43" x14ac:dyDescent="0.25">
      <c r="A126" s="8" t="s">
        <v>33</v>
      </c>
      <c r="B126" s="30" t="s">
        <v>392</v>
      </c>
      <c r="C126" s="8">
        <v>156</v>
      </c>
      <c r="D126" s="8">
        <v>232</v>
      </c>
      <c r="E126" s="8">
        <v>31</v>
      </c>
      <c r="F126" s="8">
        <f t="shared" si="22"/>
        <v>419</v>
      </c>
      <c r="G126" s="8">
        <v>5</v>
      </c>
      <c r="H126" s="8">
        <v>3</v>
      </c>
      <c r="J126" s="8">
        <f t="shared" si="23"/>
        <v>8</v>
      </c>
      <c r="K126" s="8">
        <v>5</v>
      </c>
      <c r="L126" s="8">
        <v>3</v>
      </c>
      <c r="M126" s="8">
        <v>2</v>
      </c>
      <c r="N126" s="8">
        <f t="shared" si="24"/>
        <v>10</v>
      </c>
      <c r="O126" s="8">
        <v>8</v>
      </c>
      <c r="P126" s="8">
        <v>10</v>
      </c>
      <c r="Q126" s="8">
        <v>2</v>
      </c>
      <c r="R126" s="8">
        <f t="shared" si="25"/>
        <v>20</v>
      </c>
      <c r="S126" s="31">
        <v>1.5</v>
      </c>
      <c r="T126" s="30">
        <v>1.25</v>
      </c>
      <c r="U126" s="66">
        <f>IF(A126='Свод по районам'!$A$21,'Свод по районам'!$G$21,0)</f>
        <v>1.519849143706421</v>
      </c>
      <c r="V126" s="30">
        <f t="shared" si="40"/>
        <v>1349.9</v>
      </c>
      <c r="W126" s="12">
        <f t="shared" si="41"/>
        <v>947.15622188905547</v>
      </c>
      <c r="X126" s="11">
        <v>1102.8</v>
      </c>
      <c r="Y126" s="17">
        <f t="shared" si="26"/>
        <v>247.10000000000014</v>
      </c>
      <c r="Z126" s="17">
        <f t="shared" si="27"/>
        <v>247.10000000000014</v>
      </c>
      <c r="AA126" s="17">
        <f t="shared" si="28"/>
        <v>0</v>
      </c>
      <c r="AB126" s="20">
        <f t="shared" si="29"/>
        <v>-155.64377811094448</v>
      </c>
      <c r="AC126" s="17">
        <f t="shared" si="30"/>
        <v>0</v>
      </c>
      <c r="AD126" s="17">
        <f t="shared" si="31"/>
        <v>-155.64377811094448</v>
      </c>
      <c r="AE126" s="8">
        <v>26</v>
      </c>
      <c r="AF126" s="28">
        <f t="shared" si="32"/>
        <v>51919.230769230773</v>
      </c>
      <c r="AG126" s="28">
        <f t="shared" si="42"/>
        <v>36429.085457271365</v>
      </c>
      <c r="AH126" s="28">
        <f t="shared" si="33"/>
        <v>42415.38461538461</v>
      </c>
      <c r="AI126" s="42">
        <f t="shared" si="34"/>
        <v>9503.8461538461634</v>
      </c>
      <c r="AJ126" s="44">
        <f t="shared" si="43"/>
        <v>37.055555555555557</v>
      </c>
      <c r="AK126" s="45">
        <f t="shared" si="36"/>
        <v>36429.085457271365</v>
      </c>
      <c r="AL126" s="45">
        <f t="shared" si="37"/>
        <v>29760.719640179908</v>
      </c>
      <c r="AM126" s="45">
        <f t="shared" si="38"/>
        <v>6668.3658170914568</v>
      </c>
      <c r="AN126" s="23">
        <f t="shared" si="39"/>
        <v>1.4252136752136753</v>
      </c>
      <c r="AP126" s="20" t="e">
        <f>IF(AH126/S126&lt;#REF!,AH126,0)</f>
        <v>#REF!</v>
      </c>
      <c r="AQ126" s="11" t="e">
        <f>IF(AP126&gt;0,(#REF!*S126-AP126)*AE126/1000*1.302*4,0)</f>
        <v>#REF!</v>
      </c>
    </row>
    <row r="127" spans="1:43" x14ac:dyDescent="0.25">
      <c r="A127" s="8" t="s">
        <v>33</v>
      </c>
      <c r="B127" s="30" t="s">
        <v>383</v>
      </c>
      <c r="C127" s="8">
        <v>133</v>
      </c>
      <c r="D127" s="8">
        <v>204</v>
      </c>
      <c r="E127" s="8">
        <v>25</v>
      </c>
      <c r="F127" s="8">
        <f t="shared" si="22"/>
        <v>362</v>
      </c>
      <c r="J127" s="8">
        <f t="shared" si="23"/>
        <v>0</v>
      </c>
      <c r="K127" s="8">
        <v>6</v>
      </c>
      <c r="L127" s="8">
        <v>3</v>
      </c>
      <c r="M127" s="8">
        <v>0</v>
      </c>
      <c r="N127" s="8">
        <f t="shared" si="24"/>
        <v>9</v>
      </c>
      <c r="O127" s="8">
        <v>10</v>
      </c>
      <c r="P127" s="8">
        <v>12</v>
      </c>
      <c r="Q127" s="8">
        <v>3</v>
      </c>
      <c r="R127" s="8">
        <f t="shared" si="25"/>
        <v>25</v>
      </c>
      <c r="S127" s="31">
        <v>1.5</v>
      </c>
      <c r="T127" s="30">
        <v>1.25</v>
      </c>
      <c r="U127" s="66">
        <f>IF(A127='Свод по районам'!$A$21,'Свод по районам'!$G$21,0)</f>
        <v>1.519849143706421</v>
      </c>
      <c r="V127" s="30">
        <f t="shared" si="40"/>
        <v>1090.4000000000001</v>
      </c>
      <c r="W127" s="12">
        <f t="shared" si="41"/>
        <v>606.75483870967753</v>
      </c>
      <c r="X127" s="11">
        <v>638.79999999999995</v>
      </c>
      <c r="Y127" s="17">
        <f t="shared" si="26"/>
        <v>451.60000000000014</v>
      </c>
      <c r="Z127" s="17">
        <f t="shared" si="27"/>
        <v>451.60000000000014</v>
      </c>
      <c r="AA127" s="17">
        <f t="shared" si="28"/>
        <v>0</v>
      </c>
      <c r="AB127" s="20">
        <f t="shared" si="29"/>
        <v>-32.045161290322426</v>
      </c>
      <c r="AC127" s="17">
        <f t="shared" si="30"/>
        <v>0</v>
      </c>
      <c r="AD127" s="17">
        <f t="shared" si="31"/>
        <v>-32.045161290322426</v>
      </c>
      <c r="AE127" s="8">
        <v>23</v>
      </c>
      <c r="AF127" s="28">
        <f t="shared" si="32"/>
        <v>47408.695652173919</v>
      </c>
      <c r="AG127" s="28">
        <f t="shared" si="42"/>
        <v>26380.645161290329</v>
      </c>
      <c r="AH127" s="28">
        <f t="shared" si="33"/>
        <v>27773.91304347826</v>
      </c>
      <c r="AI127" s="42">
        <f t="shared" si="34"/>
        <v>19634.782608695659</v>
      </c>
      <c r="AJ127" s="44">
        <f t="shared" si="43"/>
        <v>41.333333333333329</v>
      </c>
      <c r="AK127" s="45">
        <f t="shared" si="36"/>
        <v>26380.645161290329</v>
      </c>
      <c r="AL127" s="45">
        <f t="shared" si="37"/>
        <v>15454.83870967742</v>
      </c>
      <c r="AM127" s="45">
        <f t="shared" si="38"/>
        <v>10925.806451612909</v>
      </c>
      <c r="AN127" s="23">
        <f t="shared" si="39"/>
        <v>1.7971014492753621</v>
      </c>
      <c r="AP127" s="20" t="e">
        <f>IF(AH127/S127&lt;#REF!,AH127,0)</f>
        <v>#REF!</v>
      </c>
      <c r="AQ127" s="11" t="e">
        <f>IF(AP127&gt;0,(#REF!*S127-AP127)*AE127/1000*1.302*4,0)</f>
        <v>#REF!</v>
      </c>
    </row>
    <row r="128" spans="1:43" x14ac:dyDescent="0.25">
      <c r="A128" s="8" t="s">
        <v>33</v>
      </c>
      <c r="B128" s="30" t="s">
        <v>388</v>
      </c>
      <c r="C128" s="8">
        <v>140</v>
      </c>
      <c r="D128" s="8">
        <v>144</v>
      </c>
      <c r="E128" s="8">
        <v>27</v>
      </c>
      <c r="F128" s="8">
        <f t="shared" si="22"/>
        <v>311</v>
      </c>
      <c r="G128" s="8">
        <v>1</v>
      </c>
      <c r="H128" s="8">
        <v>2</v>
      </c>
      <c r="J128" s="8">
        <f t="shared" si="23"/>
        <v>3</v>
      </c>
      <c r="K128" s="8">
        <v>5</v>
      </c>
      <c r="L128" s="8">
        <v>9</v>
      </c>
      <c r="M128" s="8">
        <v>0</v>
      </c>
      <c r="N128" s="8">
        <f t="shared" si="24"/>
        <v>14</v>
      </c>
      <c r="O128" s="8">
        <v>8</v>
      </c>
      <c r="P128" s="8">
        <v>8</v>
      </c>
      <c r="Q128" s="8">
        <v>2</v>
      </c>
      <c r="R128" s="8">
        <f t="shared" si="25"/>
        <v>18</v>
      </c>
      <c r="S128" s="31">
        <v>1.5</v>
      </c>
      <c r="T128" s="30">
        <v>1.25</v>
      </c>
      <c r="U128" s="66">
        <f>IF(A128='Свод по районам'!$A$21,'Свод по районам'!$G$21,0)</f>
        <v>1.519849143706421</v>
      </c>
      <c r="V128" s="30">
        <f t="shared" si="40"/>
        <v>957.9</v>
      </c>
      <c r="W128" s="12">
        <f t="shared" si="41"/>
        <v>710.69999999999993</v>
      </c>
      <c r="X128" s="11">
        <v>763.9</v>
      </c>
      <c r="Y128" s="17">
        <f t="shared" si="26"/>
        <v>194</v>
      </c>
      <c r="Z128" s="17">
        <f t="shared" si="27"/>
        <v>194</v>
      </c>
      <c r="AA128" s="17">
        <f t="shared" si="28"/>
        <v>0</v>
      </c>
      <c r="AB128" s="20">
        <f t="shared" si="29"/>
        <v>-53.200000000000045</v>
      </c>
      <c r="AC128" s="17">
        <f t="shared" si="30"/>
        <v>0</v>
      </c>
      <c r="AD128" s="17">
        <f t="shared" si="31"/>
        <v>-53.200000000000045</v>
      </c>
      <c r="AE128" s="8">
        <v>23</v>
      </c>
      <c r="AF128" s="28">
        <f t="shared" si="32"/>
        <v>41647.82608695652</v>
      </c>
      <c r="AG128" s="28">
        <f t="shared" si="42"/>
        <v>30900</v>
      </c>
      <c r="AH128" s="28">
        <f t="shared" si="33"/>
        <v>33213.043478260872</v>
      </c>
      <c r="AI128" s="42">
        <f t="shared" si="34"/>
        <v>8434.7826086956484</v>
      </c>
      <c r="AJ128" s="44">
        <f t="shared" si="43"/>
        <v>31</v>
      </c>
      <c r="AK128" s="45">
        <f t="shared" si="36"/>
        <v>30900</v>
      </c>
      <c r="AL128" s="45">
        <f t="shared" si="37"/>
        <v>24641.935483870966</v>
      </c>
      <c r="AM128" s="45">
        <f t="shared" si="38"/>
        <v>6258.064516129034</v>
      </c>
      <c r="AN128" s="23">
        <f t="shared" si="39"/>
        <v>1.3478260869565217</v>
      </c>
      <c r="AP128" s="20" t="e">
        <f>IF(AH128/S128&lt;#REF!,AH128,0)</f>
        <v>#REF!</v>
      </c>
      <c r="AQ128" s="11" t="e">
        <f>IF(AP128&gt;0,(#REF!*S128-AP128)*AE128/1000*1.302*4,0)</f>
        <v>#REF!</v>
      </c>
    </row>
    <row r="129" spans="1:43" x14ac:dyDescent="0.25">
      <c r="A129" s="8" t="s">
        <v>33</v>
      </c>
      <c r="B129" s="30" t="s">
        <v>390</v>
      </c>
      <c r="C129" s="8">
        <v>92</v>
      </c>
      <c r="D129" s="8">
        <v>115</v>
      </c>
      <c r="E129" s="8">
        <v>22</v>
      </c>
      <c r="F129" s="8">
        <f t="shared" si="22"/>
        <v>229</v>
      </c>
      <c r="G129" s="8">
        <v>1</v>
      </c>
      <c r="J129" s="8">
        <f t="shared" si="23"/>
        <v>1</v>
      </c>
      <c r="K129" s="8">
        <v>4</v>
      </c>
      <c r="L129" s="8">
        <v>0</v>
      </c>
      <c r="M129" s="8">
        <v>0</v>
      </c>
      <c r="N129" s="8">
        <f t="shared" si="24"/>
        <v>4</v>
      </c>
      <c r="O129" s="8">
        <v>4</v>
      </c>
      <c r="P129" s="8">
        <v>5</v>
      </c>
      <c r="Q129" s="8">
        <v>2</v>
      </c>
      <c r="R129" s="8">
        <f t="shared" si="25"/>
        <v>11</v>
      </c>
      <c r="S129" s="31">
        <v>1.5</v>
      </c>
      <c r="T129" s="30">
        <v>1.25</v>
      </c>
      <c r="U129" s="66">
        <f>IF(A129='Свод по районам'!$A$21,'Свод по районам'!$G$21,0)</f>
        <v>1.519849143706421</v>
      </c>
      <c r="V129" s="30">
        <f t="shared" si="40"/>
        <v>701</v>
      </c>
      <c r="W129" s="12">
        <f t="shared" si="41"/>
        <v>543.94310850439888</v>
      </c>
      <c r="X129" s="11">
        <v>489.39999999999992</v>
      </c>
      <c r="Y129" s="17">
        <f t="shared" si="26"/>
        <v>211.60000000000008</v>
      </c>
      <c r="Z129" s="17">
        <f t="shared" si="27"/>
        <v>211.60000000000008</v>
      </c>
      <c r="AA129" s="17">
        <f t="shared" si="28"/>
        <v>0</v>
      </c>
      <c r="AB129" s="20">
        <f t="shared" si="29"/>
        <v>54.543108504398958</v>
      </c>
      <c r="AC129" s="17">
        <f t="shared" si="30"/>
        <v>54.543108504398958</v>
      </c>
      <c r="AD129" s="17">
        <f t="shared" si="31"/>
        <v>0</v>
      </c>
      <c r="AE129" s="8">
        <v>14.7</v>
      </c>
      <c r="AF129" s="28">
        <f t="shared" si="32"/>
        <v>47687.074829931975</v>
      </c>
      <c r="AG129" s="28">
        <f t="shared" si="42"/>
        <v>37002.932551319653</v>
      </c>
      <c r="AH129" s="28">
        <f t="shared" si="33"/>
        <v>33292.517006802722</v>
      </c>
      <c r="AI129" s="42">
        <f t="shared" si="34"/>
        <v>14394.557823129253</v>
      </c>
      <c r="AJ129" s="44">
        <f t="shared" si="43"/>
        <v>18.944444444444443</v>
      </c>
      <c r="AK129" s="45">
        <f t="shared" si="36"/>
        <v>37002.932551319653</v>
      </c>
      <c r="AL129" s="45">
        <f t="shared" si="37"/>
        <v>25833.431085043987</v>
      </c>
      <c r="AM129" s="45">
        <f t="shared" si="38"/>
        <v>11169.501466275666</v>
      </c>
      <c r="AN129" s="23">
        <f t="shared" si="39"/>
        <v>1.2887377173091459</v>
      </c>
      <c r="AP129" s="20" t="e">
        <f>IF(AH129/S129&lt;#REF!,AH129,0)</f>
        <v>#REF!</v>
      </c>
      <c r="AQ129" s="11" t="e">
        <f>IF(AP129&gt;0,(#REF!*S129-AP129)*AE129/1000*1.302*4,0)</f>
        <v>#REF!</v>
      </c>
    </row>
    <row r="130" spans="1:43" x14ac:dyDescent="0.25">
      <c r="A130" s="8" t="s">
        <v>33</v>
      </c>
      <c r="B130" s="30" t="s">
        <v>384</v>
      </c>
      <c r="C130" s="8">
        <v>75</v>
      </c>
      <c r="D130" s="8">
        <v>109</v>
      </c>
      <c r="E130" s="8">
        <v>21</v>
      </c>
      <c r="F130" s="8">
        <f t="shared" si="22"/>
        <v>205</v>
      </c>
      <c r="J130" s="8">
        <f t="shared" si="23"/>
        <v>0</v>
      </c>
      <c r="K130" s="8">
        <v>1</v>
      </c>
      <c r="L130" s="8">
        <v>2</v>
      </c>
      <c r="M130" s="8">
        <v>0</v>
      </c>
      <c r="N130" s="8">
        <f t="shared" si="24"/>
        <v>3</v>
      </c>
      <c r="O130" s="8">
        <v>6</v>
      </c>
      <c r="P130" s="8">
        <v>7</v>
      </c>
      <c r="Q130" s="8">
        <v>2</v>
      </c>
      <c r="R130" s="8">
        <f t="shared" si="25"/>
        <v>15</v>
      </c>
      <c r="S130" s="31">
        <v>1.5</v>
      </c>
      <c r="T130" s="30">
        <v>1.25</v>
      </c>
      <c r="U130" s="66">
        <f>IF(A130='Свод по районам'!$A$21,'Свод по районам'!$G$21,0)</f>
        <v>1.519849143706421</v>
      </c>
      <c r="V130" s="30">
        <f t="shared" si="40"/>
        <v>629.5</v>
      </c>
      <c r="W130" s="12">
        <f t="shared" si="41"/>
        <v>291.51342281879198</v>
      </c>
      <c r="X130" s="11">
        <v>380.8</v>
      </c>
      <c r="Y130" s="17">
        <f t="shared" si="26"/>
        <v>248.7</v>
      </c>
      <c r="Z130" s="17">
        <f t="shared" si="27"/>
        <v>248.7</v>
      </c>
      <c r="AA130" s="17">
        <f t="shared" si="28"/>
        <v>0</v>
      </c>
      <c r="AB130" s="20">
        <f t="shared" si="29"/>
        <v>-89.286577181208031</v>
      </c>
      <c r="AC130" s="17">
        <f t="shared" si="30"/>
        <v>0</v>
      </c>
      <c r="AD130" s="17">
        <f t="shared" si="31"/>
        <v>-89.286577181208031</v>
      </c>
      <c r="AE130" s="8">
        <v>11.5</v>
      </c>
      <c r="AF130" s="28">
        <f t="shared" si="32"/>
        <v>54739.130434782608</v>
      </c>
      <c r="AG130" s="28">
        <f>W130/AE130*1000</f>
        <v>25348.993288590606</v>
      </c>
      <c r="AH130" s="28">
        <f t="shared" si="33"/>
        <v>33113.043478260872</v>
      </c>
      <c r="AI130" s="42">
        <f t="shared" si="34"/>
        <v>21626.086956521736</v>
      </c>
      <c r="AJ130" s="44">
        <f t="shared" si="43"/>
        <v>24.833333333333332</v>
      </c>
      <c r="AK130" s="45">
        <f t="shared" si="36"/>
        <v>25348.993288590606</v>
      </c>
      <c r="AL130" s="45">
        <f t="shared" si="37"/>
        <v>15334.228187919465</v>
      </c>
      <c r="AM130" s="45">
        <f t="shared" si="38"/>
        <v>10014.76510067114</v>
      </c>
      <c r="AN130" s="23">
        <f t="shared" si="39"/>
        <v>2.1594202898550723</v>
      </c>
      <c r="AP130" s="20" t="e">
        <f>IF(AH130/S130&lt;#REF!,AH130,0)</f>
        <v>#REF!</v>
      </c>
      <c r="AQ130" s="11" t="e">
        <f>IF(AP130&gt;0,(#REF!*S130-AP130)*AE130/1000*1.302*4,0)</f>
        <v>#REF!</v>
      </c>
    </row>
    <row r="131" spans="1:43" x14ac:dyDescent="0.25">
      <c r="A131" s="8" t="s">
        <v>33</v>
      </c>
      <c r="B131" s="30" t="s">
        <v>389</v>
      </c>
      <c r="C131" s="8">
        <v>75</v>
      </c>
      <c r="D131" s="8">
        <v>64</v>
      </c>
      <c r="E131" s="8">
        <v>12</v>
      </c>
      <c r="F131" s="8">
        <f t="shared" si="22"/>
        <v>151</v>
      </c>
      <c r="J131" s="8">
        <f t="shared" si="23"/>
        <v>0</v>
      </c>
      <c r="K131" s="8">
        <v>4</v>
      </c>
      <c r="L131" s="8">
        <v>1</v>
      </c>
      <c r="M131" s="8">
        <v>0</v>
      </c>
      <c r="N131" s="8">
        <f t="shared" si="24"/>
        <v>5</v>
      </c>
      <c r="O131" s="8">
        <v>4</v>
      </c>
      <c r="P131" s="8">
        <v>5</v>
      </c>
      <c r="Q131" s="8">
        <v>1</v>
      </c>
      <c r="R131" s="8">
        <f t="shared" si="25"/>
        <v>10</v>
      </c>
      <c r="S131" s="31">
        <v>1.5</v>
      </c>
      <c r="T131" s="30">
        <v>1.25</v>
      </c>
      <c r="U131" s="66">
        <f>IF(A131='Свод по районам'!$A$21,'Свод по районам'!$G$21,0)</f>
        <v>1.519849143706421</v>
      </c>
      <c r="V131" s="30">
        <f t="shared" si="40"/>
        <v>437.1</v>
      </c>
      <c r="W131" s="12">
        <f t="shared" si="41"/>
        <v>370.87272727272727</v>
      </c>
      <c r="X131" s="11">
        <v>353.7</v>
      </c>
      <c r="Y131" s="17">
        <f t="shared" si="26"/>
        <v>83.400000000000034</v>
      </c>
      <c r="Z131" s="17">
        <f t="shared" si="27"/>
        <v>83.400000000000034</v>
      </c>
      <c r="AA131" s="17">
        <f t="shared" si="28"/>
        <v>0</v>
      </c>
      <c r="AB131" s="20">
        <f t="shared" si="29"/>
        <v>17.172727272727286</v>
      </c>
      <c r="AC131" s="17">
        <f t="shared" si="30"/>
        <v>17.172727272727286</v>
      </c>
      <c r="AD131" s="17">
        <f t="shared" si="31"/>
        <v>0</v>
      </c>
      <c r="AE131" s="8">
        <v>14</v>
      </c>
      <c r="AF131" s="28">
        <f t="shared" si="32"/>
        <v>31221.428571428572</v>
      </c>
      <c r="AG131" s="28">
        <f t="shared" si="42"/>
        <v>26490.909090909092</v>
      </c>
      <c r="AH131" s="28">
        <f t="shared" si="33"/>
        <v>25264.285714285714</v>
      </c>
      <c r="AI131" s="42">
        <f t="shared" si="34"/>
        <v>5957.1428571428587</v>
      </c>
      <c r="AJ131" s="44">
        <f t="shared" si="43"/>
        <v>16.5</v>
      </c>
      <c r="AK131" s="45">
        <f t="shared" si="36"/>
        <v>26490.909090909092</v>
      </c>
      <c r="AL131" s="45">
        <f t="shared" si="37"/>
        <v>21436.363636363636</v>
      </c>
      <c r="AM131" s="45">
        <f t="shared" si="38"/>
        <v>5054.5454545454559</v>
      </c>
      <c r="AN131" s="23">
        <f t="shared" si="39"/>
        <v>1.1785714285714286</v>
      </c>
      <c r="AP131" s="20" t="e">
        <f>IF(AH131/S131&lt;#REF!,AH131,0)</f>
        <v>#REF!</v>
      </c>
      <c r="AQ131" s="11" t="e">
        <f>IF(AP131&gt;0,(#REF!*S131-AP131)*AE131/1000*1.302*4,0)</f>
        <v>#REF!</v>
      </c>
    </row>
    <row r="132" spans="1:43" x14ac:dyDescent="0.25">
      <c r="A132" s="8" t="s">
        <v>33</v>
      </c>
      <c r="B132" s="30" t="s">
        <v>385</v>
      </c>
      <c r="C132" s="8">
        <v>70</v>
      </c>
      <c r="D132" s="8">
        <v>52</v>
      </c>
      <c r="E132" s="8">
        <v>6</v>
      </c>
      <c r="F132" s="8">
        <f t="shared" si="22"/>
        <v>128</v>
      </c>
      <c r="J132" s="8">
        <f t="shared" si="23"/>
        <v>0</v>
      </c>
      <c r="K132" s="8">
        <v>6</v>
      </c>
      <c r="L132" s="8">
        <v>3</v>
      </c>
      <c r="M132" s="8">
        <v>0</v>
      </c>
      <c r="N132" s="8">
        <f t="shared" si="24"/>
        <v>9</v>
      </c>
      <c r="O132" s="8">
        <v>4</v>
      </c>
      <c r="P132" s="8">
        <v>5</v>
      </c>
      <c r="Q132" s="8">
        <v>1</v>
      </c>
      <c r="R132" s="8">
        <f t="shared" si="25"/>
        <v>10</v>
      </c>
      <c r="S132" s="31">
        <v>1.5</v>
      </c>
      <c r="T132" s="30">
        <v>1.25</v>
      </c>
      <c r="U132" s="66">
        <f>IF(A132='Свод по районам'!$A$21,'Свод по районам'!$G$21,0)</f>
        <v>1.519849143706421</v>
      </c>
      <c r="V132" s="30">
        <f t="shared" si="40"/>
        <v>358.5</v>
      </c>
      <c r="W132" s="12">
        <f t="shared" si="41"/>
        <v>217.27272727272728</v>
      </c>
      <c r="X132" s="11">
        <v>334.70000000000005</v>
      </c>
      <c r="Y132" s="17">
        <f t="shared" si="26"/>
        <v>23.799999999999955</v>
      </c>
      <c r="Z132" s="17">
        <f t="shared" si="27"/>
        <v>23.799999999999955</v>
      </c>
      <c r="AA132" s="17">
        <f t="shared" si="28"/>
        <v>0</v>
      </c>
      <c r="AB132" s="20">
        <f t="shared" si="29"/>
        <v>-117.42727272727276</v>
      </c>
      <c r="AC132" s="17">
        <f t="shared" si="30"/>
        <v>0</v>
      </c>
      <c r="AD132" s="17">
        <f t="shared" si="31"/>
        <v>-117.42727272727276</v>
      </c>
      <c r="AE132" s="8">
        <v>10</v>
      </c>
      <c r="AF132" s="28">
        <f t="shared" si="32"/>
        <v>35850</v>
      </c>
      <c r="AG132" s="28">
        <f t="shared" si="42"/>
        <v>21727.272727272728</v>
      </c>
      <c r="AH132" s="28">
        <f t="shared" si="33"/>
        <v>33470.000000000007</v>
      </c>
      <c r="AI132" s="42">
        <f t="shared" si="34"/>
        <v>2379.9999999999927</v>
      </c>
      <c r="AJ132" s="44">
        <f t="shared" si="43"/>
        <v>16.5</v>
      </c>
      <c r="AK132" s="45">
        <f t="shared" si="36"/>
        <v>21727.272727272728</v>
      </c>
      <c r="AL132" s="45">
        <f t="shared" si="37"/>
        <v>20284.848484848488</v>
      </c>
      <c r="AM132" s="45">
        <f t="shared" si="38"/>
        <v>1442.4242424242402</v>
      </c>
      <c r="AN132" s="23">
        <f t="shared" si="39"/>
        <v>1.65</v>
      </c>
      <c r="AP132" s="20" t="e">
        <f>IF(AH132/S132&lt;#REF!,AH132,0)</f>
        <v>#REF!</v>
      </c>
      <c r="AQ132" s="11" t="e">
        <f>IF(AP132&gt;0,(#REF!*S132-AP132)*AE132/1000*1.302*4,0)</f>
        <v>#REF!</v>
      </c>
    </row>
    <row r="133" spans="1:43" x14ac:dyDescent="0.25">
      <c r="A133" s="8" t="s">
        <v>34</v>
      </c>
      <c r="B133" s="30" t="s">
        <v>393</v>
      </c>
      <c r="C133" s="8">
        <v>254</v>
      </c>
      <c r="D133" s="8">
        <v>282</v>
      </c>
      <c r="E133" s="8">
        <v>67</v>
      </c>
      <c r="F133" s="8">
        <f t="shared" si="22"/>
        <v>603</v>
      </c>
      <c r="G133" s="8">
        <v>12</v>
      </c>
      <c r="H133" s="8">
        <v>2</v>
      </c>
      <c r="J133" s="8">
        <f t="shared" si="23"/>
        <v>14</v>
      </c>
      <c r="K133" s="8">
        <v>15</v>
      </c>
      <c r="L133" s="8">
        <v>15</v>
      </c>
      <c r="M133" s="8">
        <v>0</v>
      </c>
      <c r="N133" s="8">
        <f t="shared" si="24"/>
        <v>30</v>
      </c>
      <c r="O133" s="8">
        <v>10</v>
      </c>
      <c r="P133" s="8">
        <v>11</v>
      </c>
      <c r="Q133" s="8">
        <v>3</v>
      </c>
      <c r="R133" s="8">
        <f t="shared" si="25"/>
        <v>24</v>
      </c>
      <c r="S133" s="31">
        <v>2.2000000000000002</v>
      </c>
      <c r="T133" s="30">
        <v>1</v>
      </c>
      <c r="U133" s="66">
        <f>IF(A133='Свод по районам'!$A$22,'Свод по районам'!$G$22,0)</f>
        <v>1.634801953748239</v>
      </c>
      <c r="V133" s="30">
        <f t="shared" si="40"/>
        <v>2318.4</v>
      </c>
      <c r="W133" s="12">
        <f t="shared" si="41"/>
        <v>1641.0580458383595</v>
      </c>
      <c r="X133" s="11">
        <v>1537.8051600000001</v>
      </c>
      <c r="Y133" s="17">
        <f t="shared" si="26"/>
        <v>780.59483999999998</v>
      </c>
      <c r="Z133" s="17">
        <f t="shared" si="27"/>
        <v>780.59483999999998</v>
      </c>
      <c r="AA133" s="17">
        <f t="shared" si="28"/>
        <v>0</v>
      </c>
      <c r="AB133" s="20">
        <f t="shared" si="29"/>
        <v>103.25288583835936</v>
      </c>
      <c r="AC133" s="17">
        <f t="shared" si="30"/>
        <v>103.25288583835936</v>
      </c>
      <c r="AD133" s="17">
        <f t="shared" si="31"/>
        <v>0</v>
      </c>
      <c r="AE133" s="8">
        <v>32.6</v>
      </c>
      <c r="AF133" s="28">
        <f t="shared" si="32"/>
        <v>71116.564417177913</v>
      </c>
      <c r="AG133" s="28">
        <f t="shared" si="42"/>
        <v>50339.203860072375</v>
      </c>
      <c r="AH133" s="28">
        <f t="shared" si="33"/>
        <v>47171.937423312884</v>
      </c>
      <c r="AI133" s="42">
        <f t="shared" si="34"/>
        <v>23944.626993865029</v>
      </c>
      <c r="AJ133" s="44">
        <f t="shared" si="43"/>
        <v>46.055555555555557</v>
      </c>
      <c r="AK133" s="45">
        <f t="shared" si="36"/>
        <v>50339.203860072375</v>
      </c>
      <c r="AL133" s="45">
        <f t="shared" si="37"/>
        <v>33390.220603136317</v>
      </c>
      <c r="AM133" s="45">
        <f t="shared" si="38"/>
        <v>16948.983256936059</v>
      </c>
      <c r="AN133" s="23">
        <f t="shared" si="39"/>
        <v>1.412747102931152</v>
      </c>
      <c r="AP133" s="20" t="e">
        <f>IF(AH133/S133&lt;#REF!,AH133,0)</f>
        <v>#REF!</v>
      </c>
      <c r="AQ133" s="11" t="e">
        <f>IF(AP133&gt;0,(#REF!*S133-AP133)*AE133/1000*1.302*4,0)</f>
        <v>#REF!</v>
      </c>
    </row>
    <row r="134" spans="1:43" x14ac:dyDescent="0.25">
      <c r="A134" s="8" t="s">
        <v>34</v>
      </c>
      <c r="B134" s="30" t="s">
        <v>394</v>
      </c>
      <c r="C134" s="8">
        <v>185</v>
      </c>
      <c r="D134" s="8">
        <v>223</v>
      </c>
      <c r="E134" s="8">
        <v>46</v>
      </c>
      <c r="F134" s="8">
        <f t="shared" si="22"/>
        <v>454</v>
      </c>
      <c r="G134" s="8">
        <v>4</v>
      </c>
      <c r="H134" s="8">
        <v>3</v>
      </c>
      <c r="J134" s="8">
        <f t="shared" si="23"/>
        <v>7</v>
      </c>
      <c r="K134" s="8">
        <v>8</v>
      </c>
      <c r="L134" s="8">
        <v>2</v>
      </c>
      <c r="M134" s="8">
        <v>1</v>
      </c>
      <c r="N134" s="8">
        <f t="shared" si="24"/>
        <v>11</v>
      </c>
      <c r="O134" s="8">
        <v>8</v>
      </c>
      <c r="P134" s="8">
        <v>10</v>
      </c>
      <c r="Q134" s="8">
        <v>2</v>
      </c>
      <c r="R134" s="8">
        <f t="shared" si="25"/>
        <v>20</v>
      </c>
      <c r="S134" s="31">
        <v>2.2000000000000002</v>
      </c>
      <c r="T134" s="30">
        <v>1</v>
      </c>
      <c r="U134" s="66">
        <f>IF(A134='Свод по районам'!$A$22,'Свод по районам'!$G$22,0)</f>
        <v>1.634801953748239</v>
      </c>
      <c r="V134" s="30">
        <f t="shared" si="40"/>
        <v>1702</v>
      </c>
      <c r="W134" s="12">
        <f t="shared" si="41"/>
        <v>1199.406373292868</v>
      </c>
      <c r="X134" s="11">
        <v>1402.8819500000002</v>
      </c>
      <c r="Y134" s="17">
        <f t="shared" si="26"/>
        <v>299.11804999999981</v>
      </c>
      <c r="Z134" s="17">
        <f t="shared" si="27"/>
        <v>299.11804999999981</v>
      </c>
      <c r="AA134" s="17">
        <f t="shared" si="28"/>
        <v>0</v>
      </c>
      <c r="AB134" s="20">
        <f t="shared" si="29"/>
        <v>-203.47557670713218</v>
      </c>
      <c r="AC134" s="17">
        <f t="shared" si="30"/>
        <v>0</v>
      </c>
      <c r="AD134" s="17">
        <f t="shared" si="31"/>
        <v>-203.47557670713218</v>
      </c>
      <c r="AE134" s="8">
        <f>29-3.2</f>
        <v>25.8</v>
      </c>
      <c r="AF134" s="28">
        <f t="shared" si="32"/>
        <v>65968.992248062015</v>
      </c>
      <c r="AG134" s="28">
        <f t="shared" si="42"/>
        <v>46488.619119878604</v>
      </c>
      <c r="AH134" s="28">
        <f t="shared" si="33"/>
        <v>54375.269379844969</v>
      </c>
      <c r="AI134" s="42">
        <f t="shared" si="34"/>
        <v>11593.722868217046</v>
      </c>
      <c r="AJ134" s="44">
        <f t="shared" si="43"/>
        <v>36.611111111111114</v>
      </c>
      <c r="AK134" s="45">
        <f t="shared" si="36"/>
        <v>46488.619119878596</v>
      </c>
      <c r="AL134" s="45">
        <f t="shared" si="37"/>
        <v>38318.475113808803</v>
      </c>
      <c r="AM134" s="45">
        <f t="shared" si="38"/>
        <v>8170.1440060697932</v>
      </c>
      <c r="AN134" s="23">
        <f t="shared" si="39"/>
        <v>1.4190353143841516</v>
      </c>
      <c r="AP134" s="20" t="e">
        <f>IF(AH134/S134&lt;#REF!,AH134,0)</f>
        <v>#REF!</v>
      </c>
      <c r="AQ134" s="11" t="e">
        <f>IF(AP134&gt;0,(#REF!*S134-AP134)*AE134/1000*1.302*4,0)</f>
        <v>#REF!</v>
      </c>
    </row>
    <row r="135" spans="1:43" x14ac:dyDescent="0.25">
      <c r="A135" s="8" t="s">
        <v>34</v>
      </c>
      <c r="B135" s="30" t="s">
        <v>395</v>
      </c>
      <c r="C135" s="8">
        <v>47</v>
      </c>
      <c r="D135" s="8">
        <v>60</v>
      </c>
      <c r="E135" s="8">
        <v>5</v>
      </c>
      <c r="F135" s="8">
        <f t="shared" si="22"/>
        <v>112</v>
      </c>
      <c r="G135" s="8">
        <v>1</v>
      </c>
      <c r="J135" s="8">
        <f t="shared" si="23"/>
        <v>1</v>
      </c>
      <c r="K135" s="8">
        <v>0</v>
      </c>
      <c r="L135" s="8">
        <v>1</v>
      </c>
      <c r="M135" s="8">
        <v>0</v>
      </c>
      <c r="N135" s="8">
        <f t="shared" si="24"/>
        <v>1</v>
      </c>
      <c r="O135" s="8">
        <v>4</v>
      </c>
      <c r="P135" s="8">
        <v>5</v>
      </c>
      <c r="Q135" s="8">
        <v>1</v>
      </c>
      <c r="R135" s="8">
        <f t="shared" si="25"/>
        <v>10</v>
      </c>
      <c r="S135" s="31">
        <v>2.2000000000000002</v>
      </c>
      <c r="T135" s="30">
        <v>1</v>
      </c>
      <c r="U135" s="66">
        <f>IF(A135='Свод по районам'!$A$22,'Свод по районам'!$G$22,0)</f>
        <v>1.634801953748239</v>
      </c>
      <c r="V135" s="30">
        <f t="shared" si="40"/>
        <v>392.9</v>
      </c>
      <c r="W135" s="12">
        <f t="shared" si="41"/>
        <v>322.04918032786884</v>
      </c>
      <c r="X135" s="11">
        <v>492.13935000000004</v>
      </c>
      <c r="Y135" s="17">
        <f t="shared" si="26"/>
        <v>-99.239350000000059</v>
      </c>
      <c r="Z135" s="17">
        <f t="shared" si="27"/>
        <v>0</v>
      </c>
      <c r="AA135" s="17">
        <f t="shared" si="28"/>
        <v>-99.239350000000059</v>
      </c>
      <c r="AB135" s="20">
        <f t="shared" si="29"/>
        <v>-170.0901696721312</v>
      </c>
      <c r="AC135" s="17">
        <f t="shared" si="30"/>
        <v>0</v>
      </c>
      <c r="AD135" s="17">
        <f t="shared" si="31"/>
        <v>-170.0901696721312</v>
      </c>
      <c r="AE135" s="8">
        <v>12</v>
      </c>
      <c r="AF135" s="28">
        <f t="shared" si="32"/>
        <v>32741.666666666668</v>
      </c>
      <c r="AG135" s="28">
        <f t="shared" si="42"/>
        <v>26837.43169398907</v>
      </c>
      <c r="AH135" s="28">
        <f t="shared" si="33"/>
        <v>41011.612500000003</v>
      </c>
      <c r="AI135" s="42">
        <f t="shared" si="34"/>
        <v>-8269.945833333335</v>
      </c>
      <c r="AJ135" s="44">
        <f t="shared" si="43"/>
        <v>16.944444444444443</v>
      </c>
      <c r="AK135" s="69">
        <f>V135/AJ135*1000</f>
        <v>23187.540983606556</v>
      </c>
      <c r="AL135" s="45">
        <f t="shared" si="37"/>
        <v>29044.289508196725</v>
      </c>
      <c r="AM135" s="45">
        <f t="shared" si="38"/>
        <v>-5856.7485245901698</v>
      </c>
      <c r="AN135" s="23">
        <v>1.22</v>
      </c>
      <c r="AP135" s="20" t="e">
        <f>IF(AH135/S135&lt;#REF!,AH135,0)</f>
        <v>#REF!</v>
      </c>
      <c r="AQ135" s="11" t="e">
        <f>IF(AP135&gt;0,(#REF!*S135-AP135)*AE135/1000*1.302*4,0)</f>
        <v>#REF!</v>
      </c>
    </row>
    <row r="136" spans="1:43" x14ac:dyDescent="0.25">
      <c r="A136" s="8" t="s">
        <v>35</v>
      </c>
      <c r="B136" s="30" t="s">
        <v>405</v>
      </c>
      <c r="C136" s="8">
        <v>535</v>
      </c>
      <c r="D136" s="8">
        <v>578</v>
      </c>
      <c r="E136" s="8">
        <v>122</v>
      </c>
      <c r="F136" s="8">
        <f t="shared" si="22"/>
        <v>1235</v>
      </c>
      <c r="G136" s="8">
        <v>4</v>
      </c>
      <c r="H136" s="8">
        <v>3</v>
      </c>
      <c r="J136" s="8">
        <f t="shared" si="23"/>
        <v>7</v>
      </c>
      <c r="K136" s="8">
        <v>7</v>
      </c>
      <c r="L136" s="8">
        <v>4</v>
      </c>
      <c r="M136" s="8">
        <v>1</v>
      </c>
      <c r="N136" s="8">
        <f t="shared" si="24"/>
        <v>12</v>
      </c>
      <c r="O136" s="8">
        <v>18</v>
      </c>
      <c r="P136" s="8">
        <v>21</v>
      </c>
      <c r="Q136" s="8">
        <v>5</v>
      </c>
      <c r="R136" s="8">
        <f t="shared" si="25"/>
        <v>44</v>
      </c>
      <c r="S136" s="31">
        <v>1.5</v>
      </c>
      <c r="T136" s="30">
        <v>1</v>
      </c>
      <c r="U136" s="66">
        <f>IF(A136='Свод по районам'!$A$23,'Свод по районам'!$G$23,0)</f>
        <v>1.5071531257293651</v>
      </c>
      <c r="V136" s="30">
        <f t="shared" si="40"/>
        <v>3013</v>
      </c>
      <c r="W136" s="12">
        <f t="shared" si="41"/>
        <v>2098.1036496350366</v>
      </c>
      <c r="X136" s="11">
        <v>1820.4904900000001</v>
      </c>
      <c r="Y136" s="17">
        <f t="shared" si="26"/>
        <v>1192.5095099999999</v>
      </c>
      <c r="Z136" s="17">
        <f t="shared" si="27"/>
        <v>1192.5095099999999</v>
      </c>
      <c r="AA136" s="17">
        <f t="shared" si="28"/>
        <v>0</v>
      </c>
      <c r="AB136" s="20">
        <f t="shared" si="29"/>
        <v>277.61315963503648</v>
      </c>
      <c r="AC136" s="17">
        <f t="shared" si="30"/>
        <v>277.61315963503648</v>
      </c>
      <c r="AD136" s="17">
        <f t="shared" si="31"/>
        <v>0</v>
      </c>
      <c r="AE136" s="8">
        <v>53</v>
      </c>
      <c r="AF136" s="28">
        <f t="shared" si="32"/>
        <v>56849.056603773584</v>
      </c>
      <c r="AG136" s="28">
        <f t="shared" si="42"/>
        <v>39586.86131386862</v>
      </c>
      <c r="AH136" s="28">
        <f t="shared" si="33"/>
        <v>34348.877169811327</v>
      </c>
      <c r="AI136" s="42">
        <f t="shared" si="34"/>
        <v>22500.179433962257</v>
      </c>
      <c r="AJ136" s="44">
        <f t="shared" si="43"/>
        <v>76.111111111111114</v>
      </c>
      <c r="AK136" s="45">
        <f t="shared" si="36"/>
        <v>39586.861313868612</v>
      </c>
      <c r="AL136" s="45">
        <f t="shared" si="37"/>
        <v>23918.853153284672</v>
      </c>
      <c r="AM136" s="45">
        <f t="shared" si="38"/>
        <v>15668.00816058394</v>
      </c>
      <c r="AN136" s="23">
        <f t="shared" si="39"/>
        <v>1.4360587002096437</v>
      </c>
      <c r="AP136" s="20" t="e">
        <f>IF(AH136/S136&lt;#REF!,AH136,0)</f>
        <v>#REF!</v>
      </c>
      <c r="AQ136" s="11" t="e">
        <f>IF(AP136&gt;0,(#REF!*S136-AP136)*AE136/1000*1.302*4,0)</f>
        <v>#REF!</v>
      </c>
    </row>
    <row r="137" spans="1:43" x14ac:dyDescent="0.25">
      <c r="A137" s="8" t="s">
        <v>35</v>
      </c>
      <c r="B137" s="30" t="s">
        <v>406</v>
      </c>
      <c r="C137" s="8">
        <v>377</v>
      </c>
      <c r="D137" s="8">
        <v>365</v>
      </c>
      <c r="E137" s="8">
        <v>46</v>
      </c>
      <c r="F137" s="8">
        <f t="shared" si="22"/>
        <v>788</v>
      </c>
      <c r="G137" s="8">
        <v>14</v>
      </c>
      <c r="H137" s="8">
        <v>5</v>
      </c>
      <c r="I137" s="8">
        <v>1</v>
      </c>
      <c r="J137" s="8">
        <f t="shared" si="23"/>
        <v>20</v>
      </c>
      <c r="K137" s="8">
        <v>3</v>
      </c>
      <c r="L137" s="8">
        <v>2</v>
      </c>
      <c r="M137" s="8">
        <v>0</v>
      </c>
      <c r="N137" s="8">
        <f t="shared" si="24"/>
        <v>5</v>
      </c>
      <c r="O137" s="8">
        <v>12</v>
      </c>
      <c r="P137" s="8">
        <v>13</v>
      </c>
      <c r="Q137" s="8">
        <v>2</v>
      </c>
      <c r="R137" s="8">
        <f t="shared" si="25"/>
        <v>27</v>
      </c>
      <c r="S137" s="31">
        <v>1.5</v>
      </c>
      <c r="T137" s="30">
        <v>1</v>
      </c>
      <c r="U137" s="66">
        <f>IF(A137='Свод по районам'!$A$23,'Свод по районам'!$G$23,0)</f>
        <v>1.5071531257293651</v>
      </c>
      <c r="V137" s="30">
        <f t="shared" si="40"/>
        <v>1972</v>
      </c>
      <c r="W137" s="12">
        <f t="shared" si="41"/>
        <v>1173.4214876033059</v>
      </c>
      <c r="X137" s="11">
        <v>1233.4534700000002</v>
      </c>
      <c r="Y137" s="17">
        <f t="shared" si="26"/>
        <v>738.54652999999985</v>
      </c>
      <c r="Z137" s="17">
        <f t="shared" si="27"/>
        <v>738.54652999999985</v>
      </c>
      <c r="AA137" s="17">
        <f t="shared" si="28"/>
        <v>0</v>
      </c>
      <c r="AB137" s="20">
        <f t="shared" si="29"/>
        <v>-60.031982396694275</v>
      </c>
      <c r="AC137" s="17">
        <f t="shared" si="30"/>
        <v>0</v>
      </c>
      <c r="AD137" s="17">
        <f t="shared" si="31"/>
        <v>-60.031982396694275</v>
      </c>
      <c r="AE137" s="8">
        <v>32</v>
      </c>
      <c r="AF137" s="28">
        <f t="shared" si="32"/>
        <v>61625</v>
      </c>
      <c r="AG137" s="28">
        <f t="shared" si="42"/>
        <v>36669.421487603307</v>
      </c>
      <c r="AH137" s="28">
        <f t="shared" si="33"/>
        <v>38545.420937500006</v>
      </c>
      <c r="AI137" s="42">
        <f t="shared" si="34"/>
        <v>23079.579062499994</v>
      </c>
      <c r="AJ137" s="44">
        <f t="shared" si="43"/>
        <v>53.777777777777771</v>
      </c>
      <c r="AK137" s="45">
        <f t="shared" si="36"/>
        <v>36669.421487603307</v>
      </c>
      <c r="AL137" s="45">
        <f t="shared" si="37"/>
        <v>22936.118243801659</v>
      </c>
      <c r="AM137" s="45">
        <f t="shared" si="38"/>
        <v>13733.303243801649</v>
      </c>
      <c r="AN137" s="23">
        <f t="shared" si="39"/>
        <v>1.6805555555555554</v>
      </c>
      <c r="AP137" s="20" t="e">
        <f>IF(AH137/S137&lt;#REF!,AH137,0)</f>
        <v>#REF!</v>
      </c>
      <c r="AQ137" s="11" t="e">
        <f>IF(AP137&gt;0,(#REF!*S137-AP137)*AE137/1000*1.302*4,0)</f>
        <v>#REF!</v>
      </c>
    </row>
    <row r="138" spans="1:43" x14ac:dyDescent="0.25">
      <c r="A138" s="8" t="s">
        <v>35</v>
      </c>
      <c r="B138" s="30" t="s">
        <v>403</v>
      </c>
      <c r="C138" s="8">
        <v>223</v>
      </c>
      <c r="D138" s="8">
        <v>233</v>
      </c>
      <c r="E138" s="8">
        <v>43</v>
      </c>
      <c r="F138" s="8">
        <f t="shared" si="22"/>
        <v>499</v>
      </c>
      <c r="J138" s="8">
        <f t="shared" si="23"/>
        <v>0</v>
      </c>
      <c r="K138" s="8">
        <v>2</v>
      </c>
      <c r="L138" s="8">
        <v>2</v>
      </c>
      <c r="M138" s="8">
        <v>0</v>
      </c>
      <c r="N138" s="8">
        <f t="shared" si="24"/>
        <v>4</v>
      </c>
      <c r="O138" s="8">
        <v>8</v>
      </c>
      <c r="P138" s="8">
        <v>10</v>
      </c>
      <c r="Q138" s="8">
        <v>2</v>
      </c>
      <c r="R138" s="8">
        <f t="shared" si="25"/>
        <v>20</v>
      </c>
      <c r="S138" s="31">
        <v>1.5</v>
      </c>
      <c r="T138" s="30">
        <v>1</v>
      </c>
      <c r="U138" s="66">
        <f>IF(A138='Свод по районам'!$A$23,'Свод по районам'!$G$23,0)</f>
        <v>1.5071531257293651</v>
      </c>
      <c r="V138" s="30">
        <f t="shared" si="40"/>
        <v>1177.4000000000001</v>
      </c>
      <c r="W138" s="12">
        <f t="shared" si="41"/>
        <v>1034.6848484848485</v>
      </c>
      <c r="X138" s="11">
        <v>716.72151000000008</v>
      </c>
      <c r="Y138" s="17">
        <f t="shared" si="26"/>
        <v>460.67849000000001</v>
      </c>
      <c r="Z138" s="17">
        <f t="shared" si="27"/>
        <v>460.67849000000001</v>
      </c>
      <c r="AA138" s="17">
        <f t="shared" si="28"/>
        <v>0</v>
      </c>
      <c r="AB138" s="20">
        <f t="shared" si="29"/>
        <v>317.96333848484846</v>
      </c>
      <c r="AC138" s="17">
        <f t="shared" si="30"/>
        <v>317.96333848484846</v>
      </c>
      <c r="AD138" s="17">
        <f t="shared" si="31"/>
        <v>0</v>
      </c>
      <c r="AE138" s="8">
        <v>29</v>
      </c>
      <c r="AF138" s="28">
        <f t="shared" si="32"/>
        <v>40600</v>
      </c>
      <c r="AG138" s="28">
        <f t="shared" si="42"/>
        <v>35678.78787878788</v>
      </c>
      <c r="AH138" s="28">
        <f t="shared" si="33"/>
        <v>24714.534827586209</v>
      </c>
      <c r="AI138" s="42">
        <f t="shared" si="34"/>
        <v>15885.465172413791</v>
      </c>
      <c r="AJ138" s="44">
        <f t="shared" si="43"/>
        <v>33</v>
      </c>
      <c r="AK138" s="45">
        <f t="shared" si="36"/>
        <v>35678.78787878788</v>
      </c>
      <c r="AL138" s="45">
        <f t="shared" si="37"/>
        <v>21718.833636363637</v>
      </c>
      <c r="AM138" s="45">
        <f t="shared" si="38"/>
        <v>13959.954242424243</v>
      </c>
      <c r="AN138" s="23">
        <f t="shared" si="39"/>
        <v>1.1379310344827587</v>
      </c>
      <c r="AP138" s="20" t="e">
        <f>IF(AH138/S138&lt;#REF!,AH138,0)</f>
        <v>#REF!</v>
      </c>
      <c r="AQ138" s="11" t="e">
        <f>IF(AP138&gt;0,(#REF!*S138-AP138)*AE138/1000*1.302*4,0)</f>
        <v>#REF!</v>
      </c>
    </row>
    <row r="139" spans="1:43" x14ac:dyDescent="0.25">
      <c r="A139" s="8" t="s">
        <v>35</v>
      </c>
      <c r="B139" s="30" t="s">
        <v>402</v>
      </c>
      <c r="C139" s="8">
        <v>221</v>
      </c>
      <c r="D139" s="8">
        <v>188</v>
      </c>
      <c r="E139" s="8">
        <v>52</v>
      </c>
      <c r="F139" s="8">
        <f t="shared" si="22"/>
        <v>461</v>
      </c>
      <c r="G139" s="8">
        <v>2</v>
      </c>
      <c r="H139" s="8">
        <v>2</v>
      </c>
      <c r="I139" s="8">
        <v>1</v>
      </c>
      <c r="J139" s="8">
        <f t="shared" si="23"/>
        <v>5</v>
      </c>
      <c r="K139" s="8">
        <v>10</v>
      </c>
      <c r="L139" s="8">
        <v>3</v>
      </c>
      <c r="M139" s="8">
        <v>2</v>
      </c>
      <c r="N139" s="8">
        <f t="shared" si="24"/>
        <v>15</v>
      </c>
      <c r="O139" s="8">
        <v>8</v>
      </c>
      <c r="P139" s="8">
        <v>8</v>
      </c>
      <c r="Q139" s="8">
        <v>2</v>
      </c>
      <c r="R139" s="8">
        <f t="shared" si="25"/>
        <v>18</v>
      </c>
      <c r="S139" s="31">
        <v>1.5</v>
      </c>
      <c r="T139" s="30">
        <v>1</v>
      </c>
      <c r="U139" s="66">
        <f>IF(A139='Свод по районам'!$A$23,'Свод по районам'!$G$23,0)</f>
        <v>1.5071531257293651</v>
      </c>
      <c r="V139" s="30">
        <f t="shared" si="40"/>
        <v>1142.9000000000001</v>
      </c>
      <c r="W139" s="12">
        <f t="shared" si="41"/>
        <v>711.84083044982708</v>
      </c>
      <c r="X139" s="11">
        <v>630.6959599999999</v>
      </c>
      <c r="Y139" s="17">
        <f t="shared" si="26"/>
        <v>512.20404000000019</v>
      </c>
      <c r="Z139" s="17">
        <f t="shared" si="27"/>
        <v>512.20404000000019</v>
      </c>
      <c r="AA139" s="17">
        <f t="shared" si="28"/>
        <v>0</v>
      </c>
      <c r="AB139" s="20">
        <f t="shared" si="29"/>
        <v>81.144870449827181</v>
      </c>
      <c r="AC139" s="17">
        <f t="shared" si="30"/>
        <v>81.144870449827181</v>
      </c>
      <c r="AD139" s="17">
        <f t="shared" si="31"/>
        <v>0</v>
      </c>
      <c r="AE139" s="8">
        <v>20</v>
      </c>
      <c r="AF139" s="28">
        <f t="shared" si="32"/>
        <v>57145</v>
      </c>
      <c r="AG139" s="28">
        <f t="shared" si="42"/>
        <v>35592.04152249136</v>
      </c>
      <c r="AH139" s="28">
        <f t="shared" si="33"/>
        <v>31534.797999999995</v>
      </c>
      <c r="AI139" s="42">
        <f t="shared" si="34"/>
        <v>25610.202000000005</v>
      </c>
      <c r="AJ139" s="44">
        <f t="shared" si="43"/>
        <v>32.111111111111107</v>
      </c>
      <c r="AK139" s="45">
        <f t="shared" si="36"/>
        <v>35592.04152249136</v>
      </c>
      <c r="AL139" s="45">
        <f t="shared" si="37"/>
        <v>19641.050657439446</v>
      </c>
      <c r="AM139" s="45">
        <f t="shared" si="38"/>
        <v>15950.990865051914</v>
      </c>
      <c r="AN139" s="23">
        <f t="shared" si="39"/>
        <v>1.6055555555555554</v>
      </c>
      <c r="AP139" s="20" t="e">
        <f>IF(AH139/S139&lt;#REF!,AH139,0)</f>
        <v>#REF!</v>
      </c>
      <c r="AQ139" s="11" t="e">
        <f>IF(AP139&gt;0,(#REF!*S139-AP139)*AE139/1000*1.302*4,0)</f>
        <v>#REF!</v>
      </c>
    </row>
    <row r="140" spans="1:43" x14ac:dyDescent="0.25">
      <c r="A140" s="8" t="s">
        <v>35</v>
      </c>
      <c r="B140" s="30" t="s">
        <v>397</v>
      </c>
      <c r="C140" s="8">
        <v>139</v>
      </c>
      <c r="D140" s="8">
        <v>176</v>
      </c>
      <c r="E140" s="8">
        <v>28</v>
      </c>
      <c r="F140" s="8">
        <f t="shared" si="22"/>
        <v>343</v>
      </c>
      <c r="H140" s="8">
        <v>1</v>
      </c>
      <c r="J140" s="8">
        <f t="shared" si="23"/>
        <v>1</v>
      </c>
      <c r="K140" s="8">
        <v>3</v>
      </c>
      <c r="L140" s="8">
        <v>2</v>
      </c>
      <c r="M140" s="8">
        <v>0</v>
      </c>
      <c r="N140" s="8">
        <f t="shared" si="24"/>
        <v>5</v>
      </c>
      <c r="O140" s="8">
        <v>7</v>
      </c>
      <c r="P140" s="8">
        <v>9</v>
      </c>
      <c r="Q140" s="8">
        <v>2</v>
      </c>
      <c r="R140" s="8">
        <f t="shared" si="25"/>
        <v>18</v>
      </c>
      <c r="S140" s="31">
        <v>1.5</v>
      </c>
      <c r="T140" s="30">
        <v>1.25</v>
      </c>
      <c r="U140" s="66">
        <f>IF(A140='Свод по районам'!$A$23,'Свод по районам'!$G$23,0)</f>
        <v>1.5071531257293651</v>
      </c>
      <c r="V140" s="30">
        <f t="shared" si="40"/>
        <v>1037.9000000000001</v>
      </c>
      <c r="W140" s="12">
        <f t="shared" si="41"/>
        <v>852.29014598540164</v>
      </c>
      <c r="X140" s="11">
        <v>776.87114999999994</v>
      </c>
      <c r="Y140" s="17">
        <f t="shared" si="26"/>
        <v>261.02885000000015</v>
      </c>
      <c r="Z140" s="17">
        <f t="shared" si="27"/>
        <v>261.02885000000015</v>
      </c>
      <c r="AA140" s="17">
        <f t="shared" si="28"/>
        <v>0</v>
      </c>
      <c r="AB140" s="20">
        <f t="shared" si="29"/>
        <v>75.418995985401693</v>
      </c>
      <c r="AC140" s="17">
        <f t="shared" si="30"/>
        <v>75.418995985401693</v>
      </c>
      <c r="AD140" s="17">
        <f t="shared" si="31"/>
        <v>0</v>
      </c>
      <c r="AE140" s="8">
        <v>25</v>
      </c>
      <c r="AF140" s="28">
        <f t="shared" si="32"/>
        <v>41516.000000000007</v>
      </c>
      <c r="AG140" s="28">
        <f t="shared" si="42"/>
        <v>34091.605839416072</v>
      </c>
      <c r="AH140" s="28">
        <f t="shared" si="33"/>
        <v>31074.845999999998</v>
      </c>
      <c r="AI140" s="42">
        <f t="shared" si="34"/>
        <v>10441.15400000001</v>
      </c>
      <c r="AJ140" s="44">
        <f t="shared" si="43"/>
        <v>30.444444444444443</v>
      </c>
      <c r="AK140" s="45">
        <f t="shared" si="36"/>
        <v>34091.605839416065</v>
      </c>
      <c r="AL140" s="45">
        <f t="shared" si="37"/>
        <v>25517.665510948904</v>
      </c>
      <c r="AM140" s="45">
        <f t="shared" si="38"/>
        <v>8573.9403284671607</v>
      </c>
      <c r="AN140" s="23">
        <f t="shared" si="39"/>
        <v>1.2177777777777776</v>
      </c>
      <c r="AP140" s="20" t="e">
        <f>IF(AH140/S140&lt;#REF!,AH140,0)</f>
        <v>#REF!</v>
      </c>
      <c r="AQ140" s="11" t="e">
        <f>IF(AP140&gt;0,(#REF!*S140-AP140)*AE140/1000*1.302*4,0)</f>
        <v>#REF!</v>
      </c>
    </row>
    <row r="141" spans="1:43" x14ac:dyDescent="0.25">
      <c r="A141" s="8" t="s">
        <v>35</v>
      </c>
      <c r="B141" s="30" t="s">
        <v>404</v>
      </c>
      <c r="C141" s="8">
        <v>139</v>
      </c>
      <c r="D141" s="8">
        <v>164</v>
      </c>
      <c r="E141" s="8">
        <v>0</v>
      </c>
      <c r="F141" s="8">
        <f t="shared" si="22"/>
        <v>303</v>
      </c>
      <c r="G141" s="8">
        <v>2</v>
      </c>
      <c r="H141" s="8">
        <v>1</v>
      </c>
      <c r="J141" s="8">
        <f t="shared" si="23"/>
        <v>3</v>
      </c>
      <c r="K141" s="8">
        <v>1</v>
      </c>
      <c r="L141" s="8">
        <v>4</v>
      </c>
      <c r="M141" s="8">
        <v>0</v>
      </c>
      <c r="N141" s="8">
        <f t="shared" si="24"/>
        <v>5</v>
      </c>
      <c r="O141" s="8">
        <v>6</v>
      </c>
      <c r="P141" s="8">
        <v>8</v>
      </c>
      <c r="R141" s="8">
        <f t="shared" si="25"/>
        <v>14</v>
      </c>
      <c r="S141" s="31">
        <v>1.5</v>
      </c>
      <c r="T141" s="30">
        <v>1</v>
      </c>
      <c r="U141" s="66">
        <f>IF(A141='Свод по районам'!$A$23,'Свод по районам'!$G$23,0)</f>
        <v>1.5071531257293651</v>
      </c>
      <c r="V141" s="30">
        <f t="shared" si="40"/>
        <v>700.4</v>
      </c>
      <c r="W141" s="12">
        <f t="shared" si="41"/>
        <v>434.73103448275867</v>
      </c>
      <c r="X141" s="11">
        <v>457.89681000000002</v>
      </c>
      <c r="Y141" s="17">
        <f t="shared" si="26"/>
        <v>242.50318999999996</v>
      </c>
      <c r="Z141" s="17">
        <f t="shared" si="27"/>
        <v>242.50318999999996</v>
      </c>
      <c r="AA141" s="17">
        <f t="shared" si="28"/>
        <v>0</v>
      </c>
      <c r="AB141" s="20">
        <f t="shared" si="29"/>
        <v>-23.165775517241343</v>
      </c>
      <c r="AC141" s="17">
        <f t="shared" si="30"/>
        <v>0</v>
      </c>
      <c r="AD141" s="17">
        <f t="shared" si="31"/>
        <v>-23.165775517241343</v>
      </c>
      <c r="AE141" s="8">
        <v>15</v>
      </c>
      <c r="AF141" s="28">
        <f t="shared" si="32"/>
        <v>46693.333333333336</v>
      </c>
      <c r="AG141" s="28">
        <f t="shared" si="42"/>
        <v>28982.068965517246</v>
      </c>
      <c r="AH141" s="28">
        <f t="shared" si="33"/>
        <v>30526.454000000002</v>
      </c>
      <c r="AI141" s="42">
        <f t="shared" si="34"/>
        <v>16166.879333333334</v>
      </c>
      <c r="AJ141" s="44">
        <f t="shared" si="43"/>
        <v>24.166666666666664</v>
      </c>
      <c r="AK141" s="45">
        <f t="shared" si="36"/>
        <v>28982.068965517243</v>
      </c>
      <c r="AL141" s="45">
        <f t="shared" si="37"/>
        <v>18947.454206896557</v>
      </c>
      <c r="AM141" s="45">
        <f t="shared" si="38"/>
        <v>10034.614758620686</v>
      </c>
      <c r="AN141" s="23">
        <f t="shared" si="39"/>
        <v>1.6111111111111109</v>
      </c>
      <c r="AP141" s="20" t="e">
        <f>IF(AH141/S141&lt;#REF!,AH141,0)</f>
        <v>#REF!</v>
      </c>
      <c r="AQ141" s="11" t="e">
        <f>IF(AP141&gt;0,(#REF!*S141-AP141)*AE141/1000*1.302*4,0)</f>
        <v>#REF!</v>
      </c>
    </row>
    <row r="142" spans="1:43" x14ac:dyDescent="0.25">
      <c r="A142" s="8" t="s">
        <v>35</v>
      </c>
      <c r="B142" s="30" t="s">
        <v>400</v>
      </c>
      <c r="C142" s="8">
        <v>88</v>
      </c>
      <c r="D142" s="8">
        <v>106</v>
      </c>
      <c r="E142" s="8">
        <v>0</v>
      </c>
      <c r="F142" s="8">
        <f t="shared" si="22"/>
        <v>194</v>
      </c>
      <c r="G142" s="8">
        <v>2</v>
      </c>
      <c r="H142" s="8">
        <v>4</v>
      </c>
      <c r="J142" s="8">
        <f t="shared" si="23"/>
        <v>6</v>
      </c>
      <c r="K142" s="8">
        <v>1</v>
      </c>
      <c r="L142" s="8">
        <v>1</v>
      </c>
      <c r="M142" s="8">
        <v>0</v>
      </c>
      <c r="N142" s="8">
        <f t="shared" si="24"/>
        <v>2</v>
      </c>
      <c r="O142" s="8">
        <v>4</v>
      </c>
      <c r="P142" s="8">
        <v>5</v>
      </c>
      <c r="R142" s="8">
        <f t="shared" si="25"/>
        <v>9</v>
      </c>
      <c r="S142" s="31">
        <v>1.5</v>
      </c>
      <c r="T142" s="30">
        <v>1</v>
      </c>
      <c r="U142" s="66">
        <f>IF(A142='Свод по районам'!$A$23,'Свод по районам'!$G$23,0)</f>
        <v>1.5071531257293651</v>
      </c>
      <c r="V142" s="30">
        <f t="shared" si="40"/>
        <v>487.9</v>
      </c>
      <c r="W142" s="12">
        <f t="shared" si="41"/>
        <v>218.87102803738318</v>
      </c>
      <c r="X142" s="11">
        <v>256.83330999999998</v>
      </c>
      <c r="Y142" s="17">
        <f t="shared" si="26"/>
        <v>231.06668999999999</v>
      </c>
      <c r="Z142" s="17">
        <f t="shared" si="27"/>
        <v>231.06668999999999</v>
      </c>
      <c r="AA142" s="17">
        <f t="shared" si="28"/>
        <v>0</v>
      </c>
      <c r="AB142" s="20">
        <f t="shared" si="29"/>
        <v>-37.9622819626168</v>
      </c>
      <c r="AC142" s="17">
        <f t="shared" si="30"/>
        <v>0</v>
      </c>
      <c r="AD142" s="17">
        <f t="shared" si="31"/>
        <v>-37.9622819626168</v>
      </c>
      <c r="AE142" s="8">
        <v>8</v>
      </c>
      <c r="AF142" s="28">
        <f t="shared" si="32"/>
        <v>60987.5</v>
      </c>
      <c r="AG142" s="28">
        <f t="shared" si="42"/>
        <v>27358.878504672899</v>
      </c>
      <c r="AH142" s="28">
        <f t="shared" si="33"/>
        <v>32104.16375</v>
      </c>
      <c r="AI142" s="42">
        <f t="shared" si="34"/>
        <v>28883.33625</v>
      </c>
      <c r="AJ142" s="44">
        <f t="shared" ref="AJ142:AJ173" si="44">(O142*$E$10+P142*$E$11+Q142*$E$12)+(G142*$S$10+H142*$S$11+I142*$S$12)</f>
        <v>17.833333333333332</v>
      </c>
      <c r="AK142" s="45">
        <f t="shared" si="36"/>
        <v>27358.878504672899</v>
      </c>
      <c r="AL142" s="45">
        <f t="shared" si="37"/>
        <v>14401.86785046729</v>
      </c>
      <c r="AM142" s="45">
        <f t="shared" si="38"/>
        <v>12957.010654205609</v>
      </c>
      <c r="AN142" s="23">
        <f t="shared" si="39"/>
        <v>2.2291666666666665</v>
      </c>
      <c r="AP142" s="20" t="e">
        <f>IF(AH142/S142&lt;#REF!,AH142,0)</f>
        <v>#REF!</v>
      </c>
      <c r="AQ142" s="11" t="e">
        <f>IF(AP142&gt;0,(#REF!*S142-AP142)*AE142/1000*1.302*4,0)</f>
        <v>#REF!</v>
      </c>
    </row>
    <row r="143" spans="1:43" x14ac:dyDescent="0.25">
      <c r="A143" s="8" t="s">
        <v>35</v>
      </c>
      <c r="B143" s="30" t="s">
        <v>399</v>
      </c>
      <c r="C143" s="8">
        <v>86</v>
      </c>
      <c r="D143" s="8">
        <v>131</v>
      </c>
      <c r="E143" s="8">
        <v>20</v>
      </c>
      <c r="F143" s="8">
        <f t="shared" si="22"/>
        <v>237</v>
      </c>
      <c r="J143" s="8">
        <f t="shared" si="23"/>
        <v>0</v>
      </c>
      <c r="K143" s="8">
        <v>1</v>
      </c>
      <c r="L143" s="8">
        <v>2</v>
      </c>
      <c r="M143" s="8">
        <v>0</v>
      </c>
      <c r="N143" s="8">
        <f t="shared" si="24"/>
        <v>3</v>
      </c>
      <c r="O143" s="8">
        <v>5</v>
      </c>
      <c r="P143" s="8">
        <v>8</v>
      </c>
      <c r="Q143" s="8">
        <v>2</v>
      </c>
      <c r="R143" s="8">
        <f t="shared" si="25"/>
        <v>15</v>
      </c>
      <c r="S143" s="31">
        <v>1.5</v>
      </c>
      <c r="T143" s="30">
        <v>1.25</v>
      </c>
      <c r="U143" s="66">
        <f>IF(A143='Свод по районам'!$A$23,'Свод по районам'!$G$23,0)</f>
        <v>1.5071531257293651</v>
      </c>
      <c r="V143" s="30">
        <f t="shared" si="40"/>
        <v>720.4</v>
      </c>
      <c r="W143" s="12">
        <f t="shared" si="41"/>
        <v>540.30000000000007</v>
      </c>
      <c r="X143" s="11">
        <v>657.68895999999995</v>
      </c>
      <c r="Y143" s="17">
        <f t="shared" si="26"/>
        <v>62.711040000000025</v>
      </c>
      <c r="Z143" s="17">
        <f t="shared" si="27"/>
        <v>62.711040000000025</v>
      </c>
      <c r="AA143" s="17">
        <f t="shared" si="28"/>
        <v>0</v>
      </c>
      <c r="AB143" s="20">
        <f t="shared" si="29"/>
        <v>-117.38895999999988</v>
      </c>
      <c r="AC143" s="17">
        <f t="shared" si="30"/>
        <v>0</v>
      </c>
      <c r="AD143" s="17">
        <f t="shared" si="31"/>
        <v>-117.38895999999988</v>
      </c>
      <c r="AE143" s="8">
        <v>19</v>
      </c>
      <c r="AF143" s="28">
        <f t="shared" si="32"/>
        <v>37915.789473684206</v>
      </c>
      <c r="AG143" s="28">
        <f t="shared" si="42"/>
        <v>28436.84210526316</v>
      </c>
      <c r="AH143" s="28">
        <f t="shared" si="33"/>
        <v>34615.20842105263</v>
      </c>
      <c r="AI143" s="42">
        <f t="shared" si="34"/>
        <v>3300.5810526315763</v>
      </c>
      <c r="AJ143" s="44">
        <f t="shared" si="44"/>
        <v>25.333333333333332</v>
      </c>
      <c r="AK143" s="45">
        <f t="shared" si="36"/>
        <v>28436.842105263157</v>
      </c>
      <c r="AL143" s="45">
        <f t="shared" si="37"/>
        <v>25961.406315789471</v>
      </c>
      <c r="AM143" s="45">
        <f t="shared" si="38"/>
        <v>2475.4357894736859</v>
      </c>
      <c r="AN143" s="23">
        <f t="shared" si="39"/>
        <v>1.3333333333333333</v>
      </c>
      <c r="AP143" s="20" t="e">
        <f>IF(AH143/S143&lt;#REF!,AH143,0)</f>
        <v>#REF!</v>
      </c>
      <c r="AQ143" s="11" t="e">
        <f>IF(AP143&gt;0,(#REF!*S143-AP143)*AE143/1000*1.302*4,0)</f>
        <v>#REF!</v>
      </c>
    </row>
    <row r="144" spans="1:43" x14ac:dyDescent="0.25">
      <c r="A144" s="8" t="s">
        <v>35</v>
      </c>
      <c r="B144" s="30" t="s">
        <v>398</v>
      </c>
      <c r="C144" s="8">
        <v>93</v>
      </c>
      <c r="D144" s="8">
        <v>96</v>
      </c>
      <c r="E144" s="8">
        <v>9</v>
      </c>
      <c r="F144" s="8">
        <f t="shared" ref="F144:F207" si="45">SUM(C144:E144)</f>
        <v>198</v>
      </c>
      <c r="G144" s="8">
        <v>1</v>
      </c>
      <c r="J144" s="8">
        <f t="shared" ref="J144:J207" si="46">SUM(G144:I144)</f>
        <v>1</v>
      </c>
      <c r="K144" s="8">
        <v>2</v>
      </c>
      <c r="L144" s="8">
        <v>1</v>
      </c>
      <c r="M144" s="8">
        <v>0</v>
      </c>
      <c r="N144" s="8">
        <f t="shared" ref="N144:N207" si="47">SUM(K144:M144)</f>
        <v>3</v>
      </c>
      <c r="O144" s="8">
        <v>5</v>
      </c>
      <c r="P144" s="8">
        <v>5</v>
      </c>
      <c r="Q144" s="8">
        <v>1</v>
      </c>
      <c r="R144" s="8">
        <f t="shared" ref="R144:R207" si="48">SUM(O144:Q144)</f>
        <v>11</v>
      </c>
      <c r="S144" s="31">
        <v>1.5</v>
      </c>
      <c r="T144" s="30">
        <v>1.25</v>
      </c>
      <c r="U144" s="66">
        <f>IF(A144='Свод по районам'!$A$23,'Свод по районам'!$G$23,0)</f>
        <v>1.5071531257293651</v>
      </c>
      <c r="V144" s="30">
        <f t="shared" si="40"/>
        <v>574.6</v>
      </c>
      <c r="W144" s="12">
        <f t="shared" si="41"/>
        <v>408.68206686930097</v>
      </c>
      <c r="X144" s="11">
        <v>521.19499999999994</v>
      </c>
      <c r="Y144" s="17">
        <f t="shared" ref="Y144:Y207" si="49">V144-X144</f>
        <v>53.405000000000086</v>
      </c>
      <c r="Z144" s="17">
        <f t="shared" ref="Z144:Z207" si="50">IF(Y144&gt;0,Y144,0)</f>
        <v>53.405000000000086</v>
      </c>
      <c r="AA144" s="17">
        <f t="shared" ref="AA144:AA207" si="51">IF(Y144&lt;0,Y144,0)</f>
        <v>0</v>
      </c>
      <c r="AB144" s="20">
        <f t="shared" ref="AB144:AB207" si="52">W144-X144</f>
        <v>-112.51293313069897</v>
      </c>
      <c r="AC144" s="17">
        <f t="shared" ref="AC144:AC207" si="53">IF(AB144&gt;0,AB144,0)</f>
        <v>0</v>
      </c>
      <c r="AD144" s="17">
        <f t="shared" ref="AD144:AD207" si="54">IF(AB144&lt;0,AB144,0)</f>
        <v>-112.51293313069897</v>
      </c>
      <c r="AE144" s="8">
        <v>13</v>
      </c>
      <c r="AF144" s="28">
        <f t="shared" ref="AF144:AF207" si="55">V144/AE144*1000</f>
        <v>44200</v>
      </c>
      <c r="AG144" s="28">
        <f t="shared" si="42"/>
        <v>31437.082066869305</v>
      </c>
      <c r="AH144" s="28">
        <f t="shared" ref="AH144:AH207" si="56">X144/AE144*1000</f>
        <v>40091.923076923071</v>
      </c>
      <c r="AI144" s="42">
        <f t="shared" ref="AI144:AI207" si="57">AF144-AH144</f>
        <v>4108.0769230769292</v>
      </c>
      <c r="AJ144" s="44">
        <f t="shared" si="44"/>
        <v>18.277777777777775</v>
      </c>
      <c r="AK144" s="45">
        <f t="shared" ref="AK144:AK207" si="58">V144/AJ144*1000</f>
        <v>31437.082066869309</v>
      </c>
      <c r="AL144" s="45">
        <f t="shared" ref="AL144:AL207" si="59">X144/AJ144*1000</f>
        <v>28515.227963525838</v>
      </c>
      <c r="AM144" s="45">
        <f t="shared" ref="AM144:AM207" si="60">AK144-AL144</f>
        <v>2921.8541033434703</v>
      </c>
      <c r="AN144" s="23">
        <f t="shared" ref="AN144:AN207" si="61">AJ144/AE144</f>
        <v>1.4059829059829059</v>
      </c>
      <c r="AP144" s="20" t="e">
        <f>IF(AH144/S144&lt;#REF!,AH144,0)</f>
        <v>#REF!</v>
      </c>
      <c r="AQ144" s="11" t="e">
        <f>IF(AP144&gt;0,(#REF!*S144-AP144)*AE144/1000*1.302*4,0)</f>
        <v>#REF!</v>
      </c>
    </row>
    <row r="145" spans="1:43" x14ac:dyDescent="0.25">
      <c r="A145" s="8" t="s">
        <v>35</v>
      </c>
      <c r="B145" s="30" t="s">
        <v>396</v>
      </c>
      <c r="C145" s="8">
        <v>59</v>
      </c>
      <c r="D145" s="8">
        <v>69</v>
      </c>
      <c r="E145" s="8">
        <v>3</v>
      </c>
      <c r="F145" s="8">
        <f t="shared" si="45"/>
        <v>131</v>
      </c>
      <c r="H145" s="8">
        <v>1</v>
      </c>
      <c r="J145" s="8">
        <f t="shared" si="46"/>
        <v>1</v>
      </c>
      <c r="K145" s="8">
        <v>1</v>
      </c>
      <c r="L145" s="8">
        <v>1</v>
      </c>
      <c r="M145" s="8">
        <v>0</v>
      </c>
      <c r="N145" s="8">
        <f t="shared" si="47"/>
        <v>2</v>
      </c>
      <c r="O145" s="8">
        <v>4</v>
      </c>
      <c r="P145" s="8">
        <v>5</v>
      </c>
      <c r="Q145" s="8">
        <v>1</v>
      </c>
      <c r="R145" s="8">
        <f t="shared" si="48"/>
        <v>10</v>
      </c>
      <c r="S145" s="31">
        <v>1.5</v>
      </c>
      <c r="T145" s="30">
        <v>1.25</v>
      </c>
      <c r="U145" s="66">
        <f>IF(A145='Свод по районам'!$A$23,'Свод по районам'!$G$23,0)</f>
        <v>1.5071531257293651</v>
      </c>
      <c r="V145" s="30">
        <f t="shared" si="40"/>
        <v>383.8</v>
      </c>
      <c r="W145" s="12">
        <f t="shared" ref="W145:W208" si="62">V145/AN145</f>
        <v>307.28922077922078</v>
      </c>
      <c r="X145" s="11">
        <v>355.76869000000005</v>
      </c>
      <c r="Y145" s="17">
        <f t="shared" si="49"/>
        <v>28.031309999999962</v>
      </c>
      <c r="Z145" s="17">
        <f t="shared" si="50"/>
        <v>28.031309999999962</v>
      </c>
      <c r="AA145" s="17">
        <f t="shared" si="51"/>
        <v>0</v>
      </c>
      <c r="AB145" s="20">
        <f t="shared" si="52"/>
        <v>-48.479469220779265</v>
      </c>
      <c r="AC145" s="17">
        <f t="shared" si="53"/>
        <v>0</v>
      </c>
      <c r="AD145" s="17">
        <f t="shared" si="54"/>
        <v>-48.479469220779265</v>
      </c>
      <c r="AE145" s="8">
        <v>13.7</v>
      </c>
      <c r="AF145" s="28">
        <f t="shared" si="55"/>
        <v>28014.598540145987</v>
      </c>
      <c r="AG145" s="28">
        <f t="shared" ref="AG145:AG208" si="63">W145/AE145*1000</f>
        <v>22429.870129870131</v>
      </c>
      <c r="AH145" s="28">
        <f t="shared" si="56"/>
        <v>25968.51751824818</v>
      </c>
      <c r="AI145" s="42">
        <f t="shared" si="57"/>
        <v>2046.0810218978077</v>
      </c>
      <c r="AJ145" s="44">
        <f t="shared" si="44"/>
        <v>17.111111111111111</v>
      </c>
      <c r="AK145" s="45">
        <f t="shared" si="58"/>
        <v>22429.870129870131</v>
      </c>
      <c r="AL145" s="45">
        <f t="shared" si="59"/>
        <v>20791.676688311694</v>
      </c>
      <c r="AM145" s="45">
        <f t="shared" si="60"/>
        <v>1638.1934415584365</v>
      </c>
      <c r="AN145" s="23">
        <f t="shared" si="61"/>
        <v>1.2489862124898621</v>
      </c>
      <c r="AP145" s="20" t="e">
        <f>IF(AH145/S145&lt;#REF!,AH145,0)</f>
        <v>#REF!</v>
      </c>
      <c r="AQ145" s="11" t="e">
        <f>IF(AP145&gt;0,(#REF!*S145-AP145)*AE145/1000*1.302*4,0)</f>
        <v>#REF!</v>
      </c>
    </row>
    <row r="146" spans="1:43" x14ac:dyDescent="0.25">
      <c r="A146" s="8" t="s">
        <v>35</v>
      </c>
      <c r="B146" s="30" t="s">
        <v>401</v>
      </c>
      <c r="C146" s="8">
        <v>64</v>
      </c>
      <c r="D146" s="8">
        <v>62</v>
      </c>
      <c r="E146" s="8">
        <v>0</v>
      </c>
      <c r="F146" s="8">
        <f t="shared" si="45"/>
        <v>126</v>
      </c>
      <c r="G146" s="8">
        <v>2</v>
      </c>
      <c r="J146" s="8">
        <f t="shared" si="46"/>
        <v>2</v>
      </c>
      <c r="K146" s="8">
        <v>1</v>
      </c>
      <c r="L146" s="8">
        <v>0</v>
      </c>
      <c r="M146" s="8">
        <v>0</v>
      </c>
      <c r="N146" s="8">
        <f t="shared" si="47"/>
        <v>1</v>
      </c>
      <c r="O146" s="8">
        <v>3</v>
      </c>
      <c r="P146" s="8">
        <v>3</v>
      </c>
      <c r="R146" s="8">
        <f t="shared" si="48"/>
        <v>6</v>
      </c>
      <c r="S146" s="31">
        <v>1.5</v>
      </c>
      <c r="T146" s="30">
        <v>1</v>
      </c>
      <c r="U146" s="66">
        <f>IF(A146='Свод по районам'!$A$23,'Свод по районам'!$G$23,0)</f>
        <v>1.5071531257293651</v>
      </c>
      <c r="V146" s="30">
        <f t="shared" ref="V146:V209" si="64">ROUND((((C146-G146)*$K$10+(D146-H146)*$K$11+(E146-I146)*$K$12)+(G146*$X$10+H146*$X$11+I146*$X$12)+(K146*$K$10*0.2+L146*$K$11*0.2+M146*$K$12*0.2))*T146*S146/1.302/12,1)</f>
        <v>289.89999999999998</v>
      </c>
      <c r="W146" s="12">
        <f t="shared" si="62"/>
        <v>251.14331550802137</v>
      </c>
      <c r="X146" s="11">
        <v>197.43413000000001</v>
      </c>
      <c r="Y146" s="17">
        <f t="shared" si="49"/>
        <v>92.465869999999967</v>
      </c>
      <c r="Z146" s="17">
        <f t="shared" si="50"/>
        <v>92.465869999999967</v>
      </c>
      <c r="AA146" s="17">
        <f t="shared" si="51"/>
        <v>0</v>
      </c>
      <c r="AB146" s="20">
        <f t="shared" si="52"/>
        <v>53.709185508021363</v>
      </c>
      <c r="AC146" s="17">
        <f t="shared" si="53"/>
        <v>53.709185508021363</v>
      </c>
      <c r="AD146" s="17">
        <f t="shared" si="54"/>
        <v>0</v>
      </c>
      <c r="AE146" s="8">
        <v>9</v>
      </c>
      <c r="AF146" s="28">
        <f t="shared" si="55"/>
        <v>32211.111111111109</v>
      </c>
      <c r="AG146" s="28">
        <f t="shared" si="63"/>
        <v>27904.812834224598</v>
      </c>
      <c r="AH146" s="28">
        <f t="shared" si="56"/>
        <v>21937.125555555558</v>
      </c>
      <c r="AI146" s="42">
        <f t="shared" si="57"/>
        <v>10273.985555555551</v>
      </c>
      <c r="AJ146" s="44">
        <f t="shared" si="44"/>
        <v>10.388888888888889</v>
      </c>
      <c r="AK146" s="45">
        <f t="shared" si="58"/>
        <v>27904.812834224598</v>
      </c>
      <c r="AL146" s="45">
        <f t="shared" si="59"/>
        <v>19004.354759358288</v>
      </c>
      <c r="AM146" s="45">
        <f t="shared" si="60"/>
        <v>8900.4580748663102</v>
      </c>
      <c r="AN146" s="23">
        <f t="shared" si="61"/>
        <v>1.154320987654321</v>
      </c>
      <c r="AP146" s="20" t="e">
        <f>IF(AH146/S146&lt;#REF!,AH146,0)</f>
        <v>#REF!</v>
      </c>
      <c r="AQ146" s="11" t="e">
        <f>IF(AP146&gt;0,(#REF!*S146-AP146)*AE146/1000*1.302*4,0)</f>
        <v>#REF!</v>
      </c>
    </row>
    <row r="147" spans="1:43" x14ac:dyDescent="0.25">
      <c r="A147" s="8" t="s">
        <v>36</v>
      </c>
      <c r="B147" s="30" t="s">
        <v>411</v>
      </c>
      <c r="C147" s="8">
        <v>434</v>
      </c>
      <c r="D147" s="8">
        <v>410</v>
      </c>
      <c r="E147" s="8">
        <v>41</v>
      </c>
      <c r="F147" s="8">
        <f t="shared" si="45"/>
        <v>885</v>
      </c>
      <c r="G147" s="8">
        <v>1</v>
      </c>
      <c r="J147" s="8">
        <f t="shared" si="46"/>
        <v>1</v>
      </c>
      <c r="K147" s="8">
        <v>10</v>
      </c>
      <c r="L147" s="8">
        <v>6</v>
      </c>
      <c r="M147" s="8">
        <v>0</v>
      </c>
      <c r="N147" s="8">
        <f t="shared" si="47"/>
        <v>16</v>
      </c>
      <c r="O147" s="8">
        <v>16</v>
      </c>
      <c r="P147" s="8">
        <v>19</v>
      </c>
      <c r="Q147" s="8">
        <v>3</v>
      </c>
      <c r="R147" s="8">
        <f t="shared" si="48"/>
        <v>38</v>
      </c>
      <c r="S147" s="31">
        <v>1.5</v>
      </c>
      <c r="T147" s="30">
        <v>1.25</v>
      </c>
      <c r="U147" s="66">
        <f>IF(A147='Свод по районам'!$A$24,'Свод по районам'!$G$24,0)</f>
        <v>1.5284297052154194</v>
      </c>
      <c r="V147" s="30">
        <f t="shared" si="64"/>
        <v>2518.1</v>
      </c>
      <c r="W147" s="12">
        <f t="shared" si="62"/>
        <v>1689.1602484472053</v>
      </c>
      <c r="X147" s="11">
        <v>1953.2660000000003</v>
      </c>
      <c r="Y147" s="17">
        <f t="shared" si="49"/>
        <v>564.83399999999961</v>
      </c>
      <c r="Z147" s="17">
        <f t="shared" si="50"/>
        <v>564.83399999999961</v>
      </c>
      <c r="AA147" s="17">
        <f t="shared" si="51"/>
        <v>0</v>
      </c>
      <c r="AB147" s="20">
        <f t="shared" si="52"/>
        <v>-264.10575155279503</v>
      </c>
      <c r="AC147" s="17">
        <f t="shared" si="53"/>
        <v>0</v>
      </c>
      <c r="AD147" s="17">
        <f t="shared" si="54"/>
        <v>-264.10575155279503</v>
      </c>
      <c r="AE147" s="8">
        <v>42</v>
      </c>
      <c r="AF147" s="28">
        <f t="shared" si="55"/>
        <v>59954.761904761901</v>
      </c>
      <c r="AG147" s="28">
        <f t="shared" si="63"/>
        <v>40218.101153504889</v>
      </c>
      <c r="AH147" s="28">
        <f t="shared" si="56"/>
        <v>46506.333333333336</v>
      </c>
      <c r="AI147" s="42">
        <f t="shared" si="57"/>
        <v>13448.428571428565</v>
      </c>
      <c r="AJ147" s="44">
        <f t="shared" si="44"/>
        <v>62.6111111111111</v>
      </c>
      <c r="AK147" s="45">
        <f t="shared" si="58"/>
        <v>40218.101153504882</v>
      </c>
      <c r="AL147" s="45">
        <f t="shared" si="59"/>
        <v>31196.79503105591</v>
      </c>
      <c r="AM147" s="45">
        <f t="shared" si="60"/>
        <v>9021.306122448972</v>
      </c>
      <c r="AN147" s="23">
        <f t="shared" si="61"/>
        <v>1.4907407407407405</v>
      </c>
      <c r="AP147" s="20" t="e">
        <f>IF(AH147/S147&lt;#REF!,AH147,0)</f>
        <v>#REF!</v>
      </c>
      <c r="AQ147" s="11" t="e">
        <f>IF(AP147&gt;0,(#REF!*S147-AP147)*AE147/1000*1.302*4,0)</f>
        <v>#REF!</v>
      </c>
    </row>
    <row r="148" spans="1:43" x14ac:dyDescent="0.25">
      <c r="A148" s="8" t="s">
        <v>36</v>
      </c>
      <c r="B148" s="30" t="s">
        <v>409</v>
      </c>
      <c r="C148" s="8">
        <v>248</v>
      </c>
      <c r="D148" s="8">
        <v>279</v>
      </c>
      <c r="E148" s="8">
        <v>42</v>
      </c>
      <c r="F148" s="8">
        <f t="shared" si="45"/>
        <v>569</v>
      </c>
      <c r="G148" s="8">
        <v>5</v>
      </c>
      <c r="J148" s="8">
        <f t="shared" si="46"/>
        <v>5</v>
      </c>
      <c r="K148" s="8">
        <v>7</v>
      </c>
      <c r="L148" s="8">
        <v>4</v>
      </c>
      <c r="M148" s="8">
        <v>3</v>
      </c>
      <c r="N148" s="8">
        <f t="shared" si="47"/>
        <v>14</v>
      </c>
      <c r="O148" s="8">
        <v>10</v>
      </c>
      <c r="P148" s="8">
        <v>12</v>
      </c>
      <c r="Q148" s="8">
        <v>2</v>
      </c>
      <c r="R148" s="8">
        <f t="shared" si="48"/>
        <v>24</v>
      </c>
      <c r="S148" s="31">
        <v>1.5</v>
      </c>
      <c r="T148" s="30">
        <v>1.25</v>
      </c>
      <c r="U148" s="66">
        <f>IF(A148='Свод по районам'!$A$24,'Свод по районам'!$G$24,0)</f>
        <v>1.5284297052154194</v>
      </c>
      <c r="V148" s="30">
        <f t="shared" si="64"/>
        <v>1726</v>
      </c>
      <c r="W148" s="12">
        <f t="shared" si="62"/>
        <v>1162.9732620320856</v>
      </c>
      <c r="X148" s="11">
        <v>1303.288</v>
      </c>
      <c r="Y148" s="17">
        <f t="shared" si="49"/>
        <v>422.71199999999999</v>
      </c>
      <c r="Z148" s="17">
        <f t="shared" si="50"/>
        <v>422.71199999999999</v>
      </c>
      <c r="AA148" s="17">
        <f t="shared" si="51"/>
        <v>0</v>
      </c>
      <c r="AB148" s="20">
        <f t="shared" si="52"/>
        <v>-140.31473796791443</v>
      </c>
      <c r="AC148" s="17">
        <f t="shared" si="53"/>
        <v>0</v>
      </c>
      <c r="AD148" s="17">
        <f t="shared" si="54"/>
        <v>-140.31473796791443</v>
      </c>
      <c r="AE148" s="8">
        <v>28</v>
      </c>
      <c r="AF148" s="28">
        <f t="shared" si="55"/>
        <v>61642.857142857145</v>
      </c>
      <c r="AG148" s="28">
        <f t="shared" si="63"/>
        <v>41534.759358288771</v>
      </c>
      <c r="AH148" s="28">
        <f t="shared" si="56"/>
        <v>46546</v>
      </c>
      <c r="AI148" s="42">
        <f t="shared" si="57"/>
        <v>15096.857142857145</v>
      </c>
      <c r="AJ148" s="44">
        <f t="shared" si="44"/>
        <v>41.55555555555555</v>
      </c>
      <c r="AK148" s="45">
        <f t="shared" si="58"/>
        <v>41534.759358288771</v>
      </c>
      <c r="AL148" s="45">
        <f t="shared" si="59"/>
        <v>31362.54545454546</v>
      </c>
      <c r="AM148" s="45">
        <f t="shared" si="60"/>
        <v>10172.213903743312</v>
      </c>
      <c r="AN148" s="23">
        <f t="shared" si="61"/>
        <v>1.484126984126984</v>
      </c>
      <c r="AP148" s="20" t="e">
        <f>IF(AH148/S148&lt;#REF!,AH148,0)</f>
        <v>#REF!</v>
      </c>
      <c r="AQ148" s="11" t="e">
        <f>IF(AP148&gt;0,(#REF!*S148-AP148)*AE148/1000*1.302*4,0)</f>
        <v>#REF!</v>
      </c>
    </row>
    <row r="149" spans="1:43" x14ac:dyDescent="0.25">
      <c r="A149" s="8" t="s">
        <v>36</v>
      </c>
      <c r="B149" s="30" t="s">
        <v>408</v>
      </c>
      <c r="C149" s="8">
        <v>127</v>
      </c>
      <c r="D149" s="8">
        <v>117</v>
      </c>
      <c r="E149" s="8">
        <v>3</v>
      </c>
      <c r="F149" s="8">
        <f t="shared" si="45"/>
        <v>247</v>
      </c>
      <c r="G149" s="8">
        <v>1</v>
      </c>
      <c r="J149" s="8">
        <f t="shared" si="46"/>
        <v>1</v>
      </c>
      <c r="K149" s="8">
        <v>4</v>
      </c>
      <c r="L149" s="8">
        <v>3</v>
      </c>
      <c r="M149" s="8">
        <v>0</v>
      </c>
      <c r="N149" s="8">
        <f t="shared" si="47"/>
        <v>7</v>
      </c>
      <c r="O149" s="8">
        <v>6</v>
      </c>
      <c r="P149" s="8">
        <v>5</v>
      </c>
      <c r="Q149" s="8">
        <v>1</v>
      </c>
      <c r="R149" s="8">
        <f t="shared" si="48"/>
        <v>12</v>
      </c>
      <c r="S149" s="31">
        <v>1.5</v>
      </c>
      <c r="T149" s="30">
        <v>1.25</v>
      </c>
      <c r="U149" s="66">
        <f>IF(A149='Свод по районам'!$A$24,'Свод по районам'!$G$24,0)</f>
        <v>1.5284297052154194</v>
      </c>
      <c r="V149" s="30">
        <f t="shared" si="64"/>
        <v>689.3</v>
      </c>
      <c r="W149" s="12">
        <f t="shared" si="62"/>
        <v>527.22662889518426</v>
      </c>
      <c r="X149" s="11">
        <v>586.01799999999992</v>
      </c>
      <c r="Y149" s="17">
        <f t="shared" si="49"/>
        <v>103.28200000000004</v>
      </c>
      <c r="Z149" s="17">
        <f t="shared" si="50"/>
        <v>103.28200000000004</v>
      </c>
      <c r="AA149" s="17">
        <f t="shared" si="51"/>
        <v>0</v>
      </c>
      <c r="AB149" s="20">
        <f t="shared" si="52"/>
        <v>-58.791371104815653</v>
      </c>
      <c r="AC149" s="17">
        <f t="shared" si="53"/>
        <v>0</v>
      </c>
      <c r="AD149" s="17">
        <f t="shared" si="54"/>
        <v>-58.791371104815653</v>
      </c>
      <c r="AE149" s="8">
        <v>15</v>
      </c>
      <c r="AF149" s="28">
        <f t="shared" si="55"/>
        <v>45953.333333333336</v>
      </c>
      <c r="AG149" s="28">
        <f t="shared" si="63"/>
        <v>35148.441926345622</v>
      </c>
      <c r="AH149" s="28">
        <f t="shared" si="56"/>
        <v>39067.866666666661</v>
      </c>
      <c r="AI149" s="42">
        <f t="shared" si="57"/>
        <v>6885.4666666666744</v>
      </c>
      <c r="AJ149" s="44">
        <f t="shared" si="44"/>
        <v>19.611111111111107</v>
      </c>
      <c r="AK149" s="45">
        <f t="shared" si="58"/>
        <v>35148.441926345615</v>
      </c>
      <c r="AL149" s="45">
        <f t="shared" si="59"/>
        <v>29881.937677053826</v>
      </c>
      <c r="AM149" s="45">
        <f t="shared" si="60"/>
        <v>5266.5042492917892</v>
      </c>
      <c r="AN149" s="23">
        <f t="shared" si="61"/>
        <v>1.3074074074074071</v>
      </c>
      <c r="AP149" s="20" t="e">
        <f>IF(AH149/S149&lt;#REF!,AH149,0)</f>
        <v>#REF!</v>
      </c>
      <c r="AQ149" s="11" t="e">
        <f>IF(AP149&gt;0,(#REF!*S149-AP149)*AE149/1000*1.302*4,0)</f>
        <v>#REF!</v>
      </c>
    </row>
    <row r="150" spans="1:43" x14ac:dyDescent="0.25">
      <c r="A150" s="8" t="s">
        <v>36</v>
      </c>
      <c r="B150" s="30" t="s">
        <v>410</v>
      </c>
      <c r="C150" s="8">
        <v>87</v>
      </c>
      <c r="D150" s="8">
        <v>119</v>
      </c>
      <c r="E150" s="8">
        <v>16</v>
      </c>
      <c r="F150" s="8">
        <f t="shared" si="45"/>
        <v>222</v>
      </c>
      <c r="G150" s="8">
        <v>3</v>
      </c>
      <c r="H150" s="8">
        <v>1</v>
      </c>
      <c r="J150" s="8">
        <f t="shared" si="46"/>
        <v>4</v>
      </c>
      <c r="K150" s="8">
        <v>5</v>
      </c>
      <c r="L150" s="8">
        <v>2</v>
      </c>
      <c r="M150" s="8">
        <v>0</v>
      </c>
      <c r="N150" s="8">
        <f t="shared" si="47"/>
        <v>7</v>
      </c>
      <c r="O150" s="8">
        <v>4</v>
      </c>
      <c r="P150" s="8">
        <v>5</v>
      </c>
      <c r="Q150" s="8">
        <v>2</v>
      </c>
      <c r="R150" s="8">
        <f t="shared" si="48"/>
        <v>11</v>
      </c>
      <c r="S150" s="31">
        <v>1.5</v>
      </c>
      <c r="T150" s="30">
        <v>1.25</v>
      </c>
      <c r="U150" s="66">
        <f>IF(A150='Свод по районам'!$A$24,'Свод по районам'!$G$24,0)</f>
        <v>1.5284297052154194</v>
      </c>
      <c r="V150" s="30">
        <f t="shared" si="64"/>
        <v>705.9</v>
      </c>
      <c r="W150" s="12">
        <f t="shared" si="62"/>
        <v>552.4434782608696</v>
      </c>
      <c r="X150" s="11">
        <v>637.55149999999992</v>
      </c>
      <c r="Y150" s="17">
        <f t="shared" si="49"/>
        <v>68.348500000000058</v>
      </c>
      <c r="Z150" s="17">
        <f t="shared" si="50"/>
        <v>68.348500000000058</v>
      </c>
      <c r="AA150" s="17">
        <f t="shared" si="51"/>
        <v>0</v>
      </c>
      <c r="AB150" s="20">
        <f t="shared" si="52"/>
        <v>-85.108021739130322</v>
      </c>
      <c r="AC150" s="17">
        <f t="shared" si="53"/>
        <v>0</v>
      </c>
      <c r="AD150" s="17">
        <f t="shared" si="54"/>
        <v>-85.108021739130322</v>
      </c>
      <c r="AE150" s="8">
        <v>16</v>
      </c>
      <c r="AF150" s="28">
        <f t="shared" si="55"/>
        <v>44118.75</v>
      </c>
      <c r="AG150" s="28">
        <f t="shared" si="63"/>
        <v>34527.717391304352</v>
      </c>
      <c r="AH150" s="28">
        <f t="shared" si="56"/>
        <v>39846.968749999993</v>
      </c>
      <c r="AI150" s="42">
        <f t="shared" si="57"/>
        <v>4271.7812500000073</v>
      </c>
      <c r="AJ150" s="44">
        <f t="shared" si="44"/>
        <v>20.444444444444443</v>
      </c>
      <c r="AK150" s="45">
        <f t="shared" si="58"/>
        <v>34527.717391304352</v>
      </c>
      <c r="AL150" s="45">
        <f t="shared" si="59"/>
        <v>31184.584239130432</v>
      </c>
      <c r="AM150" s="45">
        <f t="shared" si="60"/>
        <v>3343.1331521739194</v>
      </c>
      <c r="AN150" s="23">
        <f t="shared" si="61"/>
        <v>1.2777777777777777</v>
      </c>
      <c r="AP150" s="20" t="e">
        <f>IF(AH150/S150&lt;#REF!,AH150,0)</f>
        <v>#REF!</v>
      </c>
      <c r="AQ150" s="11" t="e">
        <f>IF(AP150&gt;0,(#REF!*S150-AP150)*AE150/1000*1.302*4,0)</f>
        <v>#REF!</v>
      </c>
    </row>
    <row r="151" spans="1:43" x14ac:dyDescent="0.25">
      <c r="A151" s="8" t="s">
        <v>36</v>
      </c>
      <c r="B151" s="30" t="s">
        <v>407</v>
      </c>
      <c r="C151" s="8">
        <v>61</v>
      </c>
      <c r="D151" s="8">
        <v>0</v>
      </c>
      <c r="E151" s="8">
        <v>0</v>
      </c>
      <c r="F151" s="8">
        <f t="shared" si="45"/>
        <v>61</v>
      </c>
      <c r="G151" s="8">
        <v>2</v>
      </c>
      <c r="J151" s="8">
        <f t="shared" si="46"/>
        <v>2</v>
      </c>
      <c r="K151" s="8">
        <v>1</v>
      </c>
      <c r="L151" s="8">
        <v>0</v>
      </c>
      <c r="M151" s="8">
        <v>0</v>
      </c>
      <c r="N151" s="8">
        <f t="shared" si="47"/>
        <v>1</v>
      </c>
      <c r="O151" s="8">
        <v>4</v>
      </c>
      <c r="R151" s="8">
        <f t="shared" si="48"/>
        <v>4</v>
      </c>
      <c r="S151" s="31">
        <v>1.5</v>
      </c>
      <c r="T151" s="30">
        <v>1.25</v>
      </c>
      <c r="U151" s="66">
        <f>IF(A151='Свод по районам'!$A$24,'Свод по районам'!$G$24,0)</f>
        <v>1.5284297052154194</v>
      </c>
      <c r="V151" s="30">
        <f t="shared" si="64"/>
        <v>153.1</v>
      </c>
      <c r="W151" s="12">
        <f t="shared" si="62"/>
        <v>123.02678571428574</v>
      </c>
      <c r="X151" s="11">
        <v>233</v>
      </c>
      <c r="Y151" s="17">
        <f t="shared" si="49"/>
        <v>-79.900000000000006</v>
      </c>
      <c r="Z151" s="17">
        <f t="shared" si="50"/>
        <v>0</v>
      </c>
      <c r="AA151" s="17">
        <f t="shared" si="51"/>
        <v>-79.900000000000006</v>
      </c>
      <c r="AB151" s="20">
        <f t="shared" si="52"/>
        <v>-109.97321428571426</v>
      </c>
      <c r="AC151" s="17">
        <f t="shared" si="53"/>
        <v>0</v>
      </c>
      <c r="AD151" s="17">
        <f t="shared" si="54"/>
        <v>-109.97321428571426</v>
      </c>
      <c r="AE151" s="8">
        <v>5</v>
      </c>
      <c r="AF151" s="28">
        <f t="shared" si="55"/>
        <v>30619.999999999996</v>
      </c>
      <c r="AG151" s="28">
        <f t="shared" si="63"/>
        <v>24605.357142857149</v>
      </c>
      <c r="AH151" s="28">
        <f t="shared" si="56"/>
        <v>46600</v>
      </c>
      <c r="AI151" s="42">
        <f t="shared" si="57"/>
        <v>-15980.000000000004</v>
      </c>
      <c r="AJ151" s="44">
        <f t="shared" si="44"/>
        <v>6.2222222222222214</v>
      </c>
      <c r="AK151" s="45">
        <f t="shared" si="58"/>
        <v>24605.357142857145</v>
      </c>
      <c r="AL151" s="45">
        <f t="shared" si="59"/>
        <v>37446.42857142858</v>
      </c>
      <c r="AM151" s="45">
        <f t="shared" si="60"/>
        <v>-12841.071428571435</v>
      </c>
      <c r="AN151" s="23">
        <f t="shared" si="61"/>
        <v>1.2444444444444442</v>
      </c>
      <c r="AP151" s="20" t="e">
        <f>IF(AH151/S151&lt;#REF!,AH151,0)</f>
        <v>#REF!</v>
      </c>
      <c r="AQ151" s="11" t="e">
        <f>IF(AP151&gt;0,(#REF!*S151-AP151)*AE151/1000*1.302*4,0)</f>
        <v>#REF!</v>
      </c>
    </row>
    <row r="152" spans="1:43" x14ac:dyDescent="0.25">
      <c r="A152" s="8" t="s">
        <v>37</v>
      </c>
      <c r="B152" s="30" t="s">
        <v>413</v>
      </c>
      <c r="C152" s="8">
        <v>442</v>
      </c>
      <c r="D152" s="8">
        <v>448</v>
      </c>
      <c r="E152" s="8">
        <v>80</v>
      </c>
      <c r="F152" s="8">
        <f t="shared" si="45"/>
        <v>970</v>
      </c>
      <c r="G152" s="8">
        <v>10</v>
      </c>
      <c r="H152" s="8">
        <v>2</v>
      </c>
      <c r="J152" s="8">
        <f t="shared" si="46"/>
        <v>12</v>
      </c>
      <c r="K152" s="8">
        <v>9</v>
      </c>
      <c r="L152" s="8">
        <v>3</v>
      </c>
      <c r="M152" s="8">
        <v>0</v>
      </c>
      <c r="N152" s="8">
        <f t="shared" si="47"/>
        <v>12</v>
      </c>
      <c r="O152" s="8">
        <v>16</v>
      </c>
      <c r="P152" s="8">
        <v>18</v>
      </c>
      <c r="Q152" s="8">
        <v>4</v>
      </c>
      <c r="R152" s="8">
        <f t="shared" si="48"/>
        <v>38</v>
      </c>
      <c r="S152" s="31">
        <v>1.5</v>
      </c>
      <c r="T152" s="30">
        <v>1.25</v>
      </c>
      <c r="U152" s="66">
        <f>IF(A152='Свод по районам'!$A$25,'Свод по районам'!$G$25,0)</f>
        <v>1.9115891989723128</v>
      </c>
      <c r="V152" s="30">
        <f t="shared" si="64"/>
        <v>2967.2</v>
      </c>
      <c r="W152" s="12">
        <f t="shared" si="62"/>
        <v>1893.7717647058821</v>
      </c>
      <c r="X152" s="11">
        <v>2175.9740000000002</v>
      </c>
      <c r="Y152" s="17">
        <f t="shared" si="49"/>
        <v>791.22599999999966</v>
      </c>
      <c r="Z152" s="17">
        <f t="shared" si="50"/>
        <v>791.22599999999966</v>
      </c>
      <c r="AA152" s="17">
        <f t="shared" si="51"/>
        <v>0</v>
      </c>
      <c r="AB152" s="20">
        <f t="shared" si="52"/>
        <v>-282.20223529411805</v>
      </c>
      <c r="AC152" s="17">
        <f t="shared" si="53"/>
        <v>0</v>
      </c>
      <c r="AD152" s="17">
        <f t="shared" si="54"/>
        <v>-282.20223529411805</v>
      </c>
      <c r="AE152" s="8">
        <v>43.4</v>
      </c>
      <c r="AF152" s="28">
        <f t="shared" si="55"/>
        <v>68368.663594470054</v>
      </c>
      <c r="AG152" s="28">
        <f t="shared" si="63"/>
        <v>43635.294117647056</v>
      </c>
      <c r="AH152" s="28">
        <f t="shared" si="56"/>
        <v>50137.649769585259</v>
      </c>
      <c r="AI152" s="42">
        <f t="shared" si="57"/>
        <v>18231.013824884794</v>
      </c>
      <c r="AJ152" s="44">
        <f t="shared" si="44"/>
        <v>68</v>
      </c>
      <c r="AK152" s="45">
        <f t="shared" si="58"/>
        <v>43635.294117647056</v>
      </c>
      <c r="AL152" s="45">
        <f t="shared" si="59"/>
        <v>31999.617647058825</v>
      </c>
      <c r="AM152" s="45">
        <f t="shared" si="60"/>
        <v>11635.676470588231</v>
      </c>
      <c r="AN152" s="23">
        <f t="shared" si="61"/>
        <v>1.566820276497696</v>
      </c>
      <c r="AP152" s="20" t="e">
        <f>IF(AH152/S152&lt;#REF!,AH152,0)</f>
        <v>#REF!</v>
      </c>
      <c r="AQ152" s="11" t="e">
        <f>IF(AP152&gt;0,(#REF!*S152-AP152)*AE152/1000*1.302*4,0)</f>
        <v>#REF!</v>
      </c>
    </row>
    <row r="153" spans="1:43" x14ac:dyDescent="0.25">
      <c r="A153" s="8" t="s">
        <v>37</v>
      </c>
      <c r="B153" s="30" t="s">
        <v>419</v>
      </c>
      <c r="C153" s="8">
        <v>190</v>
      </c>
      <c r="D153" s="8">
        <v>214</v>
      </c>
      <c r="E153" s="8">
        <v>32</v>
      </c>
      <c r="F153" s="8">
        <f t="shared" si="45"/>
        <v>436</v>
      </c>
      <c r="G153" s="8">
        <v>1</v>
      </c>
      <c r="H153" s="8">
        <v>2</v>
      </c>
      <c r="J153" s="8">
        <f t="shared" si="46"/>
        <v>3</v>
      </c>
      <c r="K153" s="8">
        <v>0</v>
      </c>
      <c r="L153" s="8">
        <v>0</v>
      </c>
      <c r="M153" s="8">
        <v>3</v>
      </c>
      <c r="N153" s="8">
        <f t="shared" si="47"/>
        <v>3</v>
      </c>
      <c r="O153" s="8">
        <v>9</v>
      </c>
      <c r="P153" s="8">
        <v>11</v>
      </c>
      <c r="Q153" s="8">
        <v>2</v>
      </c>
      <c r="R153" s="8">
        <f t="shared" si="48"/>
        <v>22</v>
      </c>
      <c r="S153" s="31">
        <v>1.5</v>
      </c>
      <c r="T153" s="30">
        <v>1.25</v>
      </c>
      <c r="U153" s="66">
        <f>IF(A153='Свод по районам'!$A$25,'Свод по районам'!$G$25,0)</f>
        <v>1.9115891989723128</v>
      </c>
      <c r="V153" s="30">
        <f t="shared" si="64"/>
        <v>1316.8</v>
      </c>
      <c r="W153" s="12">
        <f t="shared" si="62"/>
        <v>1110.2886343612336</v>
      </c>
      <c r="X153" s="11">
        <v>1084.4329999999998</v>
      </c>
      <c r="Y153" s="17">
        <f t="shared" si="49"/>
        <v>232.36700000000019</v>
      </c>
      <c r="Z153" s="17">
        <f t="shared" si="50"/>
        <v>232.36700000000019</v>
      </c>
      <c r="AA153" s="17">
        <f t="shared" si="51"/>
        <v>0</v>
      </c>
      <c r="AB153" s="20">
        <f t="shared" si="52"/>
        <v>25.855634361233797</v>
      </c>
      <c r="AC153" s="17">
        <f t="shared" si="53"/>
        <v>25.855634361233797</v>
      </c>
      <c r="AD153" s="17">
        <f t="shared" si="54"/>
        <v>0</v>
      </c>
      <c r="AE153" s="8">
        <v>31.9</v>
      </c>
      <c r="AF153" s="28">
        <f t="shared" si="55"/>
        <v>41278.996865203757</v>
      </c>
      <c r="AG153" s="28">
        <f t="shared" si="63"/>
        <v>34805.286343612337</v>
      </c>
      <c r="AH153" s="28">
        <f t="shared" si="56"/>
        <v>33994.764890282124</v>
      </c>
      <c r="AI153" s="42">
        <f t="shared" si="57"/>
        <v>7284.2319749216331</v>
      </c>
      <c r="AJ153" s="44">
        <f t="shared" si="44"/>
        <v>37.833333333333329</v>
      </c>
      <c r="AK153" s="45">
        <f t="shared" si="58"/>
        <v>34805.286343612337</v>
      </c>
      <c r="AL153" s="45">
        <f t="shared" si="59"/>
        <v>28663.427312775326</v>
      </c>
      <c r="AM153" s="45">
        <f t="shared" si="60"/>
        <v>6141.8590308370112</v>
      </c>
      <c r="AN153" s="23">
        <f t="shared" si="61"/>
        <v>1.1859979101358411</v>
      </c>
      <c r="AP153" s="20" t="e">
        <f>IF(AH153/S153&lt;#REF!,AH153,0)</f>
        <v>#REF!</v>
      </c>
      <c r="AQ153" s="11" t="e">
        <f>IF(AP153&gt;0,(#REF!*S153-AP153)*AE153/1000*1.302*4,0)</f>
        <v>#REF!</v>
      </c>
    </row>
    <row r="154" spans="1:43" x14ac:dyDescent="0.25">
      <c r="A154" s="8" t="s">
        <v>37</v>
      </c>
      <c r="B154" s="30" t="s">
        <v>412</v>
      </c>
      <c r="C154" s="8">
        <v>162</v>
      </c>
      <c r="D154" s="8">
        <v>135</v>
      </c>
      <c r="E154" s="8">
        <v>16</v>
      </c>
      <c r="F154" s="8">
        <f t="shared" si="45"/>
        <v>313</v>
      </c>
      <c r="G154" s="8">
        <v>1</v>
      </c>
      <c r="H154" s="8">
        <v>2</v>
      </c>
      <c r="J154" s="8">
        <f t="shared" si="46"/>
        <v>3</v>
      </c>
      <c r="K154" s="8">
        <v>5</v>
      </c>
      <c r="L154" s="8">
        <v>2</v>
      </c>
      <c r="M154" s="8">
        <v>0</v>
      </c>
      <c r="N154" s="8">
        <f t="shared" si="47"/>
        <v>7</v>
      </c>
      <c r="O154" s="8">
        <v>6</v>
      </c>
      <c r="P154" s="8">
        <v>6</v>
      </c>
      <c r="Q154" s="8">
        <v>2</v>
      </c>
      <c r="R154" s="8">
        <f t="shared" si="48"/>
        <v>14</v>
      </c>
      <c r="S154" s="31">
        <v>1.5</v>
      </c>
      <c r="T154" s="30">
        <v>1.25</v>
      </c>
      <c r="U154" s="66">
        <f>IF(A154='Свод по районам'!$A$25,'Свод по районам'!$G$25,0)</f>
        <v>1.9115891989723128</v>
      </c>
      <c r="V154" s="30">
        <f t="shared" si="64"/>
        <v>916</v>
      </c>
      <c r="W154" s="12">
        <f t="shared" si="62"/>
        <v>508.75135135135127</v>
      </c>
      <c r="X154" s="11">
        <v>650.87400000000002</v>
      </c>
      <c r="Y154" s="17">
        <f t="shared" si="49"/>
        <v>265.12599999999998</v>
      </c>
      <c r="Z154" s="17">
        <f t="shared" si="50"/>
        <v>265.12599999999998</v>
      </c>
      <c r="AA154" s="17">
        <f t="shared" si="51"/>
        <v>0</v>
      </c>
      <c r="AB154" s="20">
        <f t="shared" si="52"/>
        <v>-142.12264864864875</v>
      </c>
      <c r="AC154" s="17">
        <f t="shared" si="53"/>
        <v>0</v>
      </c>
      <c r="AD154" s="17">
        <f t="shared" si="54"/>
        <v>-142.12264864864875</v>
      </c>
      <c r="AE154" s="8">
        <v>13.7</v>
      </c>
      <c r="AF154" s="28">
        <f t="shared" si="55"/>
        <v>66861.313868613142</v>
      </c>
      <c r="AG154" s="28">
        <f t="shared" si="63"/>
        <v>37135.135135135133</v>
      </c>
      <c r="AH154" s="28">
        <f t="shared" si="56"/>
        <v>47509.051094890514</v>
      </c>
      <c r="AI154" s="42">
        <f t="shared" si="57"/>
        <v>19352.262773722628</v>
      </c>
      <c r="AJ154" s="44">
        <f t="shared" si="44"/>
        <v>24.666666666666668</v>
      </c>
      <c r="AK154" s="45">
        <f t="shared" si="58"/>
        <v>37135.13513513514</v>
      </c>
      <c r="AL154" s="45">
        <f t="shared" si="59"/>
        <v>26386.783783783783</v>
      </c>
      <c r="AM154" s="45">
        <f t="shared" si="60"/>
        <v>10748.351351351357</v>
      </c>
      <c r="AN154" s="23">
        <f t="shared" si="61"/>
        <v>1.8004866180048664</v>
      </c>
      <c r="AP154" s="20" t="e">
        <f>IF(AH154/S154&lt;#REF!,AH154,0)</f>
        <v>#REF!</v>
      </c>
      <c r="AQ154" s="11" t="e">
        <f>IF(AP154&gt;0,(#REF!*S154-AP154)*AE154/1000*1.302*4,0)</f>
        <v>#REF!</v>
      </c>
    </row>
    <row r="155" spans="1:43" x14ac:dyDescent="0.25">
      <c r="A155" s="8" t="s">
        <v>37</v>
      </c>
      <c r="B155" s="30" t="s">
        <v>418</v>
      </c>
      <c r="C155" s="8">
        <v>105</v>
      </c>
      <c r="D155" s="8">
        <v>130</v>
      </c>
      <c r="E155" s="8">
        <v>16</v>
      </c>
      <c r="F155" s="8">
        <f t="shared" si="45"/>
        <v>251</v>
      </c>
      <c r="G155" s="8">
        <v>2</v>
      </c>
      <c r="H155" s="8">
        <v>2</v>
      </c>
      <c r="J155" s="8">
        <f t="shared" si="46"/>
        <v>4</v>
      </c>
      <c r="K155" s="8">
        <v>0</v>
      </c>
      <c r="L155" s="8">
        <v>1</v>
      </c>
      <c r="M155" s="8">
        <v>0</v>
      </c>
      <c r="N155" s="8">
        <f t="shared" si="47"/>
        <v>1</v>
      </c>
      <c r="O155" s="8">
        <v>4</v>
      </c>
      <c r="P155" s="8">
        <v>7</v>
      </c>
      <c r="Q155" s="8">
        <v>2</v>
      </c>
      <c r="R155" s="8">
        <f t="shared" si="48"/>
        <v>13</v>
      </c>
      <c r="S155" s="31">
        <v>1.5</v>
      </c>
      <c r="T155" s="30">
        <v>1.25</v>
      </c>
      <c r="U155" s="66">
        <f>IF(A155='Свод по районам'!$A$25,'Свод по районам'!$G$25,0)</f>
        <v>1.9115891989723128</v>
      </c>
      <c r="V155" s="30">
        <f t="shared" si="64"/>
        <v>781.5</v>
      </c>
      <c r="W155" s="12">
        <f t="shared" si="62"/>
        <v>550.44782608695664</v>
      </c>
      <c r="X155" s="11">
        <v>680.61400000000003</v>
      </c>
      <c r="Y155" s="17">
        <f t="shared" si="49"/>
        <v>100.88599999999997</v>
      </c>
      <c r="Z155" s="17">
        <f t="shared" si="50"/>
        <v>100.88599999999997</v>
      </c>
      <c r="AA155" s="17">
        <f t="shared" si="51"/>
        <v>0</v>
      </c>
      <c r="AB155" s="20">
        <f t="shared" si="52"/>
        <v>-130.16617391304339</v>
      </c>
      <c r="AC155" s="17">
        <f t="shared" si="53"/>
        <v>0</v>
      </c>
      <c r="AD155" s="17">
        <f t="shared" si="54"/>
        <v>-130.16617391304339</v>
      </c>
      <c r="AE155" s="8">
        <v>17.100000000000001</v>
      </c>
      <c r="AF155" s="28">
        <f t="shared" si="55"/>
        <v>45701.754385964909</v>
      </c>
      <c r="AG155" s="28">
        <f t="shared" si="63"/>
        <v>32189.931350114421</v>
      </c>
      <c r="AH155" s="28">
        <f t="shared" si="56"/>
        <v>39801.98830409356</v>
      </c>
      <c r="AI155" s="42">
        <f t="shared" si="57"/>
        <v>5899.7660818713484</v>
      </c>
      <c r="AJ155" s="44">
        <f t="shared" si="44"/>
        <v>24.277777777777775</v>
      </c>
      <c r="AK155" s="45">
        <f t="shared" si="58"/>
        <v>32189.931350114421</v>
      </c>
      <c r="AL155" s="45">
        <f t="shared" si="59"/>
        <v>28034.443935926778</v>
      </c>
      <c r="AM155" s="45">
        <f t="shared" si="60"/>
        <v>4155.4874141876426</v>
      </c>
      <c r="AN155" s="23">
        <f t="shared" si="61"/>
        <v>1.4197530864197527</v>
      </c>
      <c r="AP155" s="20" t="e">
        <f>IF(AH155/S155&lt;#REF!,AH155,0)</f>
        <v>#REF!</v>
      </c>
      <c r="AQ155" s="11" t="e">
        <f>IF(AP155&gt;0,(#REF!*S155-AP155)*AE155/1000*1.302*4,0)</f>
        <v>#REF!</v>
      </c>
    </row>
    <row r="156" spans="1:43" x14ac:dyDescent="0.25">
      <c r="A156" s="8" t="s">
        <v>37</v>
      </c>
      <c r="B156" s="30" t="s">
        <v>414</v>
      </c>
      <c r="C156" s="8">
        <v>72</v>
      </c>
      <c r="D156" s="8">
        <v>67</v>
      </c>
      <c r="E156" s="8">
        <v>17</v>
      </c>
      <c r="F156" s="8">
        <f t="shared" si="45"/>
        <v>156</v>
      </c>
      <c r="G156" s="8">
        <v>1</v>
      </c>
      <c r="J156" s="8">
        <f t="shared" si="46"/>
        <v>1</v>
      </c>
      <c r="K156" s="8">
        <v>1</v>
      </c>
      <c r="L156" s="8">
        <v>1</v>
      </c>
      <c r="M156" s="8">
        <v>0</v>
      </c>
      <c r="N156" s="8">
        <f t="shared" si="47"/>
        <v>2</v>
      </c>
      <c r="O156" s="8">
        <v>4</v>
      </c>
      <c r="P156" s="8">
        <v>5</v>
      </c>
      <c r="Q156" s="8">
        <v>2</v>
      </c>
      <c r="R156" s="8">
        <f t="shared" si="48"/>
        <v>11</v>
      </c>
      <c r="S156" s="31">
        <v>1.5</v>
      </c>
      <c r="T156" s="30">
        <v>1.25</v>
      </c>
      <c r="U156" s="66">
        <f>IF(A156='Свод по районам'!$A$25,'Свод по районам'!$G$25,0)</f>
        <v>1.9115891989723128</v>
      </c>
      <c r="V156" s="30">
        <f t="shared" si="64"/>
        <v>474.1</v>
      </c>
      <c r="W156" s="12">
        <f t="shared" si="62"/>
        <v>317.82774193548391</v>
      </c>
      <c r="X156" s="11">
        <v>426.99900000000008</v>
      </c>
      <c r="Y156" s="17">
        <f t="shared" si="49"/>
        <v>47.100999999999942</v>
      </c>
      <c r="Z156" s="17">
        <f t="shared" si="50"/>
        <v>47.100999999999942</v>
      </c>
      <c r="AA156" s="17">
        <f t="shared" si="51"/>
        <v>0</v>
      </c>
      <c r="AB156" s="20">
        <f t="shared" si="52"/>
        <v>-109.17125806451617</v>
      </c>
      <c r="AC156" s="17">
        <f t="shared" si="53"/>
        <v>0</v>
      </c>
      <c r="AD156" s="17">
        <f t="shared" si="54"/>
        <v>-109.17125806451617</v>
      </c>
      <c r="AE156" s="8">
        <v>12.7</v>
      </c>
      <c r="AF156" s="28">
        <f t="shared" si="55"/>
        <v>37330.708661417324</v>
      </c>
      <c r="AG156" s="28">
        <f t="shared" si="63"/>
        <v>25025.806451612909</v>
      </c>
      <c r="AH156" s="28">
        <f t="shared" si="56"/>
        <v>33621.968503937016</v>
      </c>
      <c r="AI156" s="42">
        <f t="shared" si="57"/>
        <v>3708.740157480308</v>
      </c>
      <c r="AJ156" s="44">
        <f t="shared" si="44"/>
        <v>18.944444444444443</v>
      </c>
      <c r="AK156" s="45">
        <f t="shared" si="58"/>
        <v>25025.806451612909</v>
      </c>
      <c r="AL156" s="45">
        <f t="shared" si="59"/>
        <v>22539.536656891501</v>
      </c>
      <c r="AM156" s="45">
        <f t="shared" si="60"/>
        <v>2486.2697947214074</v>
      </c>
      <c r="AN156" s="23">
        <f t="shared" si="61"/>
        <v>1.4916885389326333</v>
      </c>
      <c r="AP156" s="20" t="e">
        <f>IF(AH156/S156&lt;#REF!,AH156,0)</f>
        <v>#REF!</v>
      </c>
      <c r="AQ156" s="11" t="e">
        <f>IF(AP156&gt;0,(#REF!*S156-AP156)*AE156/1000*1.302*4,0)</f>
        <v>#REF!</v>
      </c>
    </row>
    <row r="157" spans="1:43" x14ac:dyDescent="0.25">
      <c r="A157" s="8" t="s">
        <v>37</v>
      </c>
      <c r="B157" s="30" t="s">
        <v>416</v>
      </c>
      <c r="C157" s="8">
        <v>69</v>
      </c>
      <c r="D157" s="8">
        <v>72</v>
      </c>
      <c r="E157" s="8">
        <v>8</v>
      </c>
      <c r="F157" s="8">
        <f t="shared" si="45"/>
        <v>149</v>
      </c>
      <c r="G157" s="8">
        <v>1</v>
      </c>
      <c r="J157" s="8">
        <f t="shared" si="46"/>
        <v>1</v>
      </c>
      <c r="K157" s="8">
        <v>0</v>
      </c>
      <c r="L157" s="8">
        <v>0</v>
      </c>
      <c r="M157" s="8">
        <v>0</v>
      </c>
      <c r="N157" s="8">
        <f t="shared" si="47"/>
        <v>0</v>
      </c>
      <c r="O157" s="8">
        <v>4</v>
      </c>
      <c r="P157" s="8">
        <v>5</v>
      </c>
      <c r="Q157" s="8">
        <v>1</v>
      </c>
      <c r="R157" s="8">
        <f t="shared" si="48"/>
        <v>10</v>
      </c>
      <c r="S157" s="31">
        <v>1.5</v>
      </c>
      <c r="T157" s="30">
        <v>1.25</v>
      </c>
      <c r="U157" s="66">
        <f>IF(A157='Свод по районам'!$A$25,'Свод по районам'!$G$25,0)</f>
        <v>1.9115891989723128</v>
      </c>
      <c r="V157" s="30">
        <f t="shared" si="64"/>
        <v>436.9</v>
      </c>
      <c r="W157" s="12">
        <f t="shared" si="62"/>
        <v>257.8426229508197</v>
      </c>
      <c r="X157" s="11">
        <v>385.214</v>
      </c>
      <c r="Y157" s="17">
        <f t="shared" si="49"/>
        <v>51.685999999999979</v>
      </c>
      <c r="Z157" s="17">
        <f t="shared" si="50"/>
        <v>51.685999999999979</v>
      </c>
      <c r="AA157" s="17">
        <f t="shared" si="51"/>
        <v>0</v>
      </c>
      <c r="AB157" s="20">
        <f t="shared" si="52"/>
        <v>-127.3713770491803</v>
      </c>
      <c r="AC157" s="17">
        <f t="shared" si="53"/>
        <v>0</v>
      </c>
      <c r="AD157" s="17">
        <f t="shared" si="54"/>
        <v>-127.3713770491803</v>
      </c>
      <c r="AE157" s="8">
        <v>10</v>
      </c>
      <c r="AF157" s="28">
        <f t="shared" si="55"/>
        <v>43690</v>
      </c>
      <c r="AG157" s="28">
        <f t="shared" si="63"/>
        <v>25784.262295081968</v>
      </c>
      <c r="AH157" s="28">
        <f t="shared" si="56"/>
        <v>38521.4</v>
      </c>
      <c r="AI157" s="42">
        <f t="shared" si="57"/>
        <v>5168.5999999999985</v>
      </c>
      <c r="AJ157" s="44">
        <f t="shared" si="44"/>
        <v>16.944444444444443</v>
      </c>
      <c r="AK157" s="45">
        <f t="shared" si="58"/>
        <v>25784.262295081968</v>
      </c>
      <c r="AL157" s="45">
        <f t="shared" si="59"/>
        <v>22733.940983606557</v>
      </c>
      <c r="AM157" s="45">
        <f t="shared" si="60"/>
        <v>3050.3213114754108</v>
      </c>
      <c r="AN157" s="23">
        <f t="shared" si="61"/>
        <v>1.6944444444444442</v>
      </c>
      <c r="AP157" s="20" t="e">
        <f>IF(AH157/S157&lt;#REF!,AH157,0)</f>
        <v>#REF!</v>
      </c>
      <c r="AQ157" s="11" t="e">
        <f>IF(AP157&gt;0,(#REF!*S157-AP157)*AE157/1000*1.302*4,0)</f>
        <v>#REF!</v>
      </c>
    </row>
    <row r="158" spans="1:43" x14ac:dyDescent="0.25">
      <c r="A158" s="8" t="s">
        <v>37</v>
      </c>
      <c r="B158" s="30" t="s">
        <v>417</v>
      </c>
      <c r="C158" s="8">
        <v>70</v>
      </c>
      <c r="D158" s="8">
        <v>52</v>
      </c>
      <c r="E158" s="8">
        <v>12</v>
      </c>
      <c r="F158" s="8">
        <f t="shared" si="45"/>
        <v>134</v>
      </c>
      <c r="G158" s="8">
        <v>3</v>
      </c>
      <c r="J158" s="8">
        <f t="shared" si="46"/>
        <v>3</v>
      </c>
      <c r="K158" s="8">
        <v>0</v>
      </c>
      <c r="L158" s="8">
        <v>0</v>
      </c>
      <c r="M158" s="8">
        <v>0</v>
      </c>
      <c r="N158" s="8">
        <f t="shared" si="47"/>
        <v>0</v>
      </c>
      <c r="O158" s="8">
        <v>4</v>
      </c>
      <c r="P158" s="8">
        <v>5</v>
      </c>
      <c r="Q158" s="8">
        <v>1</v>
      </c>
      <c r="R158" s="8">
        <f t="shared" si="48"/>
        <v>10</v>
      </c>
      <c r="S158" s="31">
        <v>1.5</v>
      </c>
      <c r="T158" s="30">
        <v>1.25</v>
      </c>
      <c r="U158" s="66">
        <f>IF(A158='Свод по районам'!$A$25,'Свод по районам'!$G$25,0)</f>
        <v>1.9115891989723128</v>
      </c>
      <c r="V158" s="30">
        <f t="shared" si="64"/>
        <v>413.1</v>
      </c>
      <c r="W158" s="12">
        <f t="shared" si="62"/>
        <v>233.96130841121499</v>
      </c>
      <c r="X158" s="11">
        <v>394.73</v>
      </c>
      <c r="Y158" s="17">
        <f t="shared" si="49"/>
        <v>18.370000000000005</v>
      </c>
      <c r="Z158" s="17">
        <f t="shared" si="50"/>
        <v>18.370000000000005</v>
      </c>
      <c r="AA158" s="17">
        <f t="shared" si="51"/>
        <v>0</v>
      </c>
      <c r="AB158" s="20">
        <f t="shared" si="52"/>
        <v>-160.76869158878503</v>
      </c>
      <c r="AC158" s="17">
        <f t="shared" si="53"/>
        <v>0</v>
      </c>
      <c r="AD158" s="17">
        <f t="shared" si="54"/>
        <v>-160.76869158878503</v>
      </c>
      <c r="AE158" s="8">
        <v>10.1</v>
      </c>
      <c r="AF158" s="28">
        <f t="shared" si="55"/>
        <v>40900.990099009905</v>
      </c>
      <c r="AG158" s="28">
        <f t="shared" si="63"/>
        <v>23164.485981308419</v>
      </c>
      <c r="AH158" s="28">
        <f t="shared" si="56"/>
        <v>39082.178217821784</v>
      </c>
      <c r="AI158" s="42">
        <f t="shared" si="57"/>
        <v>1818.8118811881213</v>
      </c>
      <c r="AJ158" s="44">
        <f t="shared" si="44"/>
        <v>17.833333333333332</v>
      </c>
      <c r="AK158" s="45">
        <f t="shared" si="58"/>
        <v>23164.485981308415</v>
      </c>
      <c r="AL158" s="45">
        <f t="shared" si="59"/>
        <v>22134.392523364491</v>
      </c>
      <c r="AM158" s="45">
        <f t="shared" si="60"/>
        <v>1030.0934579439236</v>
      </c>
      <c r="AN158" s="23">
        <f t="shared" si="61"/>
        <v>1.7656765676567656</v>
      </c>
      <c r="AP158" s="20" t="e">
        <f>IF(AH158/S158&lt;#REF!,AH158,0)</f>
        <v>#REF!</v>
      </c>
      <c r="AQ158" s="11" t="e">
        <f>IF(AP158&gt;0,(#REF!*S158-AP158)*AE158/1000*1.302*4,0)</f>
        <v>#REF!</v>
      </c>
    </row>
    <row r="159" spans="1:43" x14ac:dyDescent="0.25">
      <c r="A159" s="8" t="s">
        <v>37</v>
      </c>
      <c r="B159" s="30" t="s">
        <v>415</v>
      </c>
      <c r="C159" s="8">
        <v>41</v>
      </c>
      <c r="D159" s="8">
        <v>68</v>
      </c>
      <c r="E159" s="8">
        <v>24</v>
      </c>
      <c r="F159" s="8">
        <f t="shared" si="45"/>
        <v>133</v>
      </c>
      <c r="J159" s="8">
        <f t="shared" si="46"/>
        <v>0</v>
      </c>
      <c r="K159" s="8">
        <v>1</v>
      </c>
      <c r="L159" s="8">
        <v>1</v>
      </c>
      <c r="M159" s="8">
        <v>0</v>
      </c>
      <c r="N159" s="8">
        <f t="shared" si="47"/>
        <v>2</v>
      </c>
      <c r="O159" s="8">
        <v>4</v>
      </c>
      <c r="P159" s="8">
        <v>5</v>
      </c>
      <c r="Q159" s="8">
        <v>2</v>
      </c>
      <c r="R159" s="8">
        <f t="shared" si="48"/>
        <v>11</v>
      </c>
      <c r="S159" s="31">
        <v>1.5</v>
      </c>
      <c r="T159" s="30">
        <v>1.25</v>
      </c>
      <c r="U159" s="66">
        <f>IF(A159='Свод по районам'!$A$25,'Свод по районам'!$G$25,0)</f>
        <v>1.9115891989723128</v>
      </c>
      <c r="V159" s="30">
        <f t="shared" si="64"/>
        <v>435.6</v>
      </c>
      <c r="W159" s="12">
        <f t="shared" si="62"/>
        <v>301.3881081081081</v>
      </c>
      <c r="X159" s="11">
        <v>364.58799999999997</v>
      </c>
      <c r="Y159" s="17">
        <f t="shared" si="49"/>
        <v>71.012000000000057</v>
      </c>
      <c r="Z159" s="17">
        <f t="shared" si="50"/>
        <v>71.012000000000057</v>
      </c>
      <c r="AA159" s="17">
        <f t="shared" si="51"/>
        <v>0</v>
      </c>
      <c r="AB159" s="20">
        <f t="shared" si="52"/>
        <v>-63.199891891891866</v>
      </c>
      <c r="AC159" s="17">
        <f t="shared" si="53"/>
        <v>0</v>
      </c>
      <c r="AD159" s="17">
        <f t="shared" si="54"/>
        <v>-63.199891891891866</v>
      </c>
      <c r="AE159" s="8">
        <v>12.8</v>
      </c>
      <c r="AF159" s="28">
        <f t="shared" si="55"/>
        <v>34031.25</v>
      </c>
      <c r="AG159" s="28">
        <f t="shared" si="63"/>
        <v>23545.945945945947</v>
      </c>
      <c r="AH159" s="28">
        <f t="shared" si="56"/>
        <v>28483.437499999996</v>
      </c>
      <c r="AI159" s="42">
        <f t="shared" si="57"/>
        <v>5547.8125000000036</v>
      </c>
      <c r="AJ159" s="44">
        <f t="shared" si="44"/>
        <v>18.5</v>
      </c>
      <c r="AK159" s="45">
        <f t="shared" si="58"/>
        <v>23545.94594594595</v>
      </c>
      <c r="AL159" s="45">
        <f t="shared" si="59"/>
        <v>19707.459459459456</v>
      </c>
      <c r="AM159" s="45">
        <f t="shared" si="60"/>
        <v>3838.486486486494</v>
      </c>
      <c r="AN159" s="23">
        <f t="shared" si="61"/>
        <v>1.4453125</v>
      </c>
      <c r="AP159" s="20" t="e">
        <f>IF(AH159/S159&lt;#REF!,AH159,0)</f>
        <v>#REF!</v>
      </c>
      <c r="AQ159" s="11" t="e">
        <f>IF(AP159&gt;0,(#REF!*S159-AP159)*AE159/1000*1.302*4,0)</f>
        <v>#REF!</v>
      </c>
    </row>
    <row r="160" spans="1:43" x14ac:dyDescent="0.25">
      <c r="A160" s="8" t="s">
        <v>38</v>
      </c>
      <c r="B160" s="30" t="s">
        <v>420</v>
      </c>
      <c r="C160" s="8">
        <v>318</v>
      </c>
      <c r="D160" s="8">
        <v>372</v>
      </c>
      <c r="E160" s="8">
        <v>67</v>
      </c>
      <c r="F160" s="8">
        <f t="shared" si="45"/>
        <v>757</v>
      </c>
      <c r="G160" s="8">
        <v>1</v>
      </c>
      <c r="J160" s="8">
        <f t="shared" si="46"/>
        <v>1</v>
      </c>
      <c r="K160" s="8">
        <v>8</v>
      </c>
      <c r="L160" s="8">
        <v>4</v>
      </c>
      <c r="M160" s="8">
        <v>1</v>
      </c>
      <c r="N160" s="8">
        <f t="shared" si="47"/>
        <v>13</v>
      </c>
      <c r="O160" s="8">
        <v>12</v>
      </c>
      <c r="P160" s="8">
        <v>16</v>
      </c>
      <c r="Q160" s="8">
        <v>3</v>
      </c>
      <c r="R160" s="8">
        <f t="shared" si="48"/>
        <v>31</v>
      </c>
      <c r="S160" s="31">
        <v>1.5</v>
      </c>
      <c r="T160" s="30">
        <v>1.25</v>
      </c>
      <c r="U160" s="66">
        <f>IF(A160='Свод по районам'!$A$26,'Свод по районам'!$G$26,0)</f>
        <v>1.2475086652244958</v>
      </c>
      <c r="V160" s="30">
        <f t="shared" si="64"/>
        <v>2271.1</v>
      </c>
      <c r="W160" s="12">
        <f t="shared" si="62"/>
        <v>1798.3603004291849</v>
      </c>
      <c r="X160" s="11">
        <v>1281.7748999999999</v>
      </c>
      <c r="Y160" s="17">
        <f t="shared" si="49"/>
        <v>989.32510000000002</v>
      </c>
      <c r="Z160" s="17">
        <f t="shared" si="50"/>
        <v>989.32510000000002</v>
      </c>
      <c r="AA160" s="17">
        <f t="shared" si="51"/>
        <v>0</v>
      </c>
      <c r="AB160" s="20">
        <f t="shared" si="52"/>
        <v>516.58540042918503</v>
      </c>
      <c r="AC160" s="17">
        <f t="shared" si="53"/>
        <v>516.58540042918503</v>
      </c>
      <c r="AD160" s="17">
        <f t="shared" si="54"/>
        <v>0</v>
      </c>
      <c r="AE160" s="8">
        <v>41</v>
      </c>
      <c r="AF160" s="28">
        <f t="shared" si="55"/>
        <v>55392.682926829264</v>
      </c>
      <c r="AG160" s="28">
        <f t="shared" si="63"/>
        <v>43862.446351931343</v>
      </c>
      <c r="AH160" s="28">
        <f t="shared" si="56"/>
        <v>31262.802439024388</v>
      </c>
      <c r="AI160" s="42">
        <f t="shared" si="57"/>
        <v>24129.880487804876</v>
      </c>
      <c r="AJ160" s="44">
        <f t="shared" si="44"/>
        <v>51.777777777777771</v>
      </c>
      <c r="AK160" s="45">
        <f t="shared" si="58"/>
        <v>43862.446351931336</v>
      </c>
      <c r="AL160" s="45">
        <f t="shared" si="59"/>
        <v>24755.309227467813</v>
      </c>
      <c r="AM160" s="45">
        <f t="shared" si="60"/>
        <v>19107.137124463523</v>
      </c>
      <c r="AN160" s="23">
        <f t="shared" si="61"/>
        <v>1.262872628726287</v>
      </c>
      <c r="AP160" s="20" t="e">
        <f>IF(AH160/S160&lt;#REF!,AH160,0)</f>
        <v>#REF!</v>
      </c>
      <c r="AQ160" s="11" t="e">
        <f>IF(AP160&gt;0,(#REF!*S160-AP160)*AE160/1000*1.302*4,0)</f>
        <v>#REF!</v>
      </c>
    </row>
    <row r="161" spans="1:43" x14ac:dyDescent="0.25">
      <c r="A161" s="8" t="s">
        <v>38</v>
      </c>
      <c r="B161" s="30" t="s">
        <v>421</v>
      </c>
      <c r="C161" s="8">
        <v>309</v>
      </c>
      <c r="D161" s="8">
        <v>319</v>
      </c>
      <c r="E161" s="8">
        <v>41</v>
      </c>
      <c r="F161" s="8">
        <f t="shared" si="45"/>
        <v>669</v>
      </c>
      <c r="G161" s="8">
        <v>4</v>
      </c>
      <c r="J161" s="8">
        <f t="shared" si="46"/>
        <v>4</v>
      </c>
      <c r="K161" s="8">
        <v>14</v>
      </c>
      <c r="L161" s="8">
        <v>2</v>
      </c>
      <c r="M161" s="8">
        <v>0</v>
      </c>
      <c r="N161" s="8">
        <f t="shared" si="47"/>
        <v>16</v>
      </c>
      <c r="O161" s="8">
        <v>12</v>
      </c>
      <c r="P161" s="8">
        <v>15</v>
      </c>
      <c r="Q161" s="8">
        <v>2</v>
      </c>
      <c r="R161" s="8">
        <f t="shared" si="48"/>
        <v>29</v>
      </c>
      <c r="S161" s="31">
        <v>1.5</v>
      </c>
      <c r="T161" s="30">
        <v>1.25</v>
      </c>
      <c r="U161" s="66">
        <f>IF(A161='Свод по районам'!$A$26,'Свод по районам'!$G$26,0)</f>
        <v>1.2475086652244958</v>
      </c>
      <c r="V161" s="30">
        <f t="shared" si="64"/>
        <v>1974.5</v>
      </c>
      <c r="W161" s="12">
        <f t="shared" si="62"/>
        <v>1442.4757609921082</v>
      </c>
      <c r="X161" s="11">
        <v>1214.9733999999999</v>
      </c>
      <c r="Y161" s="17">
        <f t="shared" si="49"/>
        <v>759.52660000000014</v>
      </c>
      <c r="Z161" s="17">
        <f t="shared" si="50"/>
        <v>759.52660000000014</v>
      </c>
      <c r="AA161" s="17">
        <f t="shared" si="51"/>
        <v>0</v>
      </c>
      <c r="AB161" s="20">
        <f t="shared" si="52"/>
        <v>227.50236099210838</v>
      </c>
      <c r="AC161" s="17">
        <f t="shared" si="53"/>
        <v>227.50236099210838</v>
      </c>
      <c r="AD161" s="17">
        <f t="shared" si="54"/>
        <v>0</v>
      </c>
      <c r="AE161" s="8">
        <v>36</v>
      </c>
      <c r="AF161" s="28">
        <f t="shared" si="55"/>
        <v>54847.222222222219</v>
      </c>
      <c r="AG161" s="28">
        <f t="shared" si="63"/>
        <v>40068.771138669676</v>
      </c>
      <c r="AH161" s="28">
        <f t="shared" si="56"/>
        <v>33749.261111111111</v>
      </c>
      <c r="AI161" s="42">
        <f t="shared" si="57"/>
        <v>21097.961111111108</v>
      </c>
      <c r="AJ161" s="44">
        <f t="shared" si="44"/>
        <v>49.277777777777779</v>
      </c>
      <c r="AK161" s="45">
        <f t="shared" si="58"/>
        <v>40068.771138669676</v>
      </c>
      <c r="AL161" s="45">
        <f t="shared" si="59"/>
        <v>24655.604509582863</v>
      </c>
      <c r="AM161" s="45">
        <f t="shared" si="60"/>
        <v>15413.166629086812</v>
      </c>
      <c r="AN161" s="23">
        <f t="shared" si="61"/>
        <v>1.3688271604938271</v>
      </c>
      <c r="AP161" s="20" t="e">
        <f>IF(AH161/S161&lt;#REF!,AH161,0)</f>
        <v>#REF!</v>
      </c>
      <c r="AQ161" s="11" t="e">
        <f>IF(AP161&gt;0,(#REF!*S161-AP161)*AE161/1000*1.302*4,0)</f>
        <v>#REF!</v>
      </c>
    </row>
    <row r="162" spans="1:43" x14ac:dyDescent="0.25">
      <c r="A162" s="8" t="s">
        <v>38</v>
      </c>
      <c r="B162" s="30" t="s">
        <v>422</v>
      </c>
      <c r="C162" s="8">
        <v>95</v>
      </c>
      <c r="D162" s="8">
        <v>84</v>
      </c>
      <c r="E162" s="8">
        <v>21</v>
      </c>
      <c r="F162" s="8">
        <f t="shared" si="45"/>
        <v>200</v>
      </c>
      <c r="G162" s="8">
        <v>1</v>
      </c>
      <c r="H162" s="8">
        <v>1</v>
      </c>
      <c r="J162" s="8">
        <f t="shared" si="46"/>
        <v>2</v>
      </c>
      <c r="K162" s="8">
        <v>0</v>
      </c>
      <c r="L162" s="8">
        <v>0</v>
      </c>
      <c r="M162" s="8">
        <v>0</v>
      </c>
      <c r="N162" s="8">
        <f t="shared" si="47"/>
        <v>0</v>
      </c>
      <c r="O162" s="8">
        <v>4</v>
      </c>
      <c r="P162" s="8">
        <v>5</v>
      </c>
      <c r="Q162" s="8">
        <v>2</v>
      </c>
      <c r="R162" s="8">
        <f t="shared" si="48"/>
        <v>11</v>
      </c>
      <c r="S162" s="31">
        <v>1.5</v>
      </c>
      <c r="T162" s="30">
        <v>1.25</v>
      </c>
      <c r="U162" s="66">
        <f>IF(A162='Свод по районам'!$A$26,'Свод по районам'!$G$26,0)</f>
        <v>1.2475086652244958</v>
      </c>
      <c r="V162" s="30">
        <f t="shared" si="64"/>
        <v>611.9</v>
      </c>
      <c r="W162" s="12">
        <f t="shared" si="62"/>
        <v>485.00028409090902</v>
      </c>
      <c r="X162" s="11">
        <v>485.09300000000013</v>
      </c>
      <c r="Y162" s="17">
        <f t="shared" si="49"/>
        <v>126.80699999999985</v>
      </c>
      <c r="Z162" s="17">
        <f t="shared" si="50"/>
        <v>126.80699999999985</v>
      </c>
      <c r="AA162" s="17">
        <f t="shared" si="51"/>
        <v>0</v>
      </c>
      <c r="AB162" s="20">
        <f t="shared" si="52"/>
        <v>-9.2715909091111826E-2</v>
      </c>
      <c r="AC162" s="17">
        <f t="shared" si="53"/>
        <v>0</v>
      </c>
      <c r="AD162" s="17">
        <f t="shared" si="54"/>
        <v>-9.2715909091111826E-2</v>
      </c>
      <c r="AE162" s="8">
        <v>15.5</v>
      </c>
      <c r="AF162" s="28">
        <f t="shared" si="55"/>
        <v>39477.419354838712</v>
      </c>
      <c r="AG162" s="28">
        <f t="shared" si="63"/>
        <v>31290.340909090904</v>
      </c>
      <c r="AH162" s="28">
        <f t="shared" si="56"/>
        <v>31296.32258064517</v>
      </c>
      <c r="AI162" s="42">
        <f t="shared" si="57"/>
        <v>8181.0967741935419</v>
      </c>
      <c r="AJ162" s="44">
        <f t="shared" si="44"/>
        <v>19.555555555555557</v>
      </c>
      <c r="AK162" s="45">
        <f t="shared" si="58"/>
        <v>31290.340909090904</v>
      </c>
      <c r="AL162" s="45">
        <f t="shared" si="59"/>
        <v>24805.892045454548</v>
      </c>
      <c r="AM162" s="45">
        <f t="shared" si="60"/>
        <v>6484.4488636363567</v>
      </c>
      <c r="AN162" s="23">
        <f t="shared" si="61"/>
        <v>1.2616487455197134</v>
      </c>
      <c r="AP162" s="20" t="e">
        <f>IF(AH162/S162&lt;#REF!,AH162,0)</f>
        <v>#REF!</v>
      </c>
      <c r="AQ162" s="11" t="e">
        <f>IF(AP162&gt;0,(#REF!*S162-AP162)*AE162/1000*1.302*4,0)</f>
        <v>#REF!</v>
      </c>
    </row>
    <row r="163" spans="1:43" x14ac:dyDescent="0.25">
      <c r="A163" s="8" t="s">
        <v>38</v>
      </c>
      <c r="B163" s="30" t="s">
        <v>423</v>
      </c>
      <c r="C163" s="8">
        <v>71</v>
      </c>
      <c r="D163" s="8">
        <v>76</v>
      </c>
      <c r="E163" s="8">
        <v>0</v>
      </c>
      <c r="F163" s="8">
        <f t="shared" si="45"/>
        <v>147</v>
      </c>
      <c r="G163" s="8">
        <v>1</v>
      </c>
      <c r="H163" s="8">
        <v>2</v>
      </c>
      <c r="J163" s="8">
        <f t="shared" si="46"/>
        <v>3</v>
      </c>
      <c r="K163" s="8">
        <v>9</v>
      </c>
      <c r="L163" s="8">
        <v>0</v>
      </c>
      <c r="M163" s="8">
        <v>0</v>
      </c>
      <c r="N163" s="8">
        <f t="shared" si="47"/>
        <v>9</v>
      </c>
      <c r="O163" s="8">
        <v>4</v>
      </c>
      <c r="P163" s="8">
        <v>6</v>
      </c>
      <c r="R163" s="8">
        <f t="shared" si="48"/>
        <v>10</v>
      </c>
      <c r="S163" s="31">
        <v>1.5</v>
      </c>
      <c r="T163" s="30">
        <v>1.25</v>
      </c>
      <c r="U163" s="66">
        <f>IF(A163='Свод по районам'!$A$26,'Свод по районам'!$G$26,0)</f>
        <v>1.2475086652244958</v>
      </c>
      <c r="V163" s="30">
        <f t="shared" si="64"/>
        <v>442.7</v>
      </c>
      <c r="W163" s="12">
        <f t="shared" si="62"/>
        <v>319.72777777777776</v>
      </c>
      <c r="X163" s="11">
        <v>410.72919999999993</v>
      </c>
      <c r="Y163" s="17">
        <f t="shared" si="49"/>
        <v>31.970800000000054</v>
      </c>
      <c r="Z163" s="17">
        <f t="shared" si="50"/>
        <v>31.970800000000054</v>
      </c>
      <c r="AA163" s="17">
        <f t="shared" si="51"/>
        <v>0</v>
      </c>
      <c r="AB163" s="20">
        <f t="shared" si="52"/>
        <v>-91.001422222222175</v>
      </c>
      <c r="AC163" s="17">
        <f t="shared" si="53"/>
        <v>0</v>
      </c>
      <c r="AD163" s="17">
        <f t="shared" si="54"/>
        <v>-91.001422222222175</v>
      </c>
      <c r="AE163" s="8">
        <v>13</v>
      </c>
      <c r="AF163" s="28">
        <f t="shared" si="55"/>
        <v>34053.846153846149</v>
      </c>
      <c r="AG163" s="28">
        <f t="shared" si="63"/>
        <v>24594.444444444442</v>
      </c>
      <c r="AH163" s="28">
        <f t="shared" si="56"/>
        <v>31594.553846153838</v>
      </c>
      <c r="AI163" s="42">
        <f t="shared" si="57"/>
        <v>2459.2923076923107</v>
      </c>
      <c r="AJ163" s="44">
        <f t="shared" si="44"/>
        <v>18</v>
      </c>
      <c r="AK163" s="45">
        <f t="shared" si="58"/>
        <v>24594.444444444445</v>
      </c>
      <c r="AL163" s="45">
        <f t="shared" si="59"/>
        <v>22818.288888888888</v>
      </c>
      <c r="AM163" s="45">
        <f t="shared" si="60"/>
        <v>1776.1555555555569</v>
      </c>
      <c r="AN163" s="23">
        <f t="shared" si="61"/>
        <v>1.3846153846153846</v>
      </c>
      <c r="AP163" s="20" t="e">
        <f>IF(AH163/S163&lt;#REF!,AH163,0)</f>
        <v>#REF!</v>
      </c>
      <c r="AQ163" s="11" t="e">
        <f>IF(AP163&gt;0,(#REF!*S163-AP163)*AE163/1000*1.302*4,0)</f>
        <v>#REF!</v>
      </c>
    </row>
    <row r="164" spans="1:43" x14ac:dyDescent="0.25">
      <c r="A164" s="8" t="s">
        <v>275</v>
      </c>
      <c r="B164" s="30" t="s">
        <v>426</v>
      </c>
      <c r="C164" s="8">
        <v>479</v>
      </c>
      <c r="D164" s="8">
        <v>509</v>
      </c>
      <c r="E164" s="8">
        <v>113</v>
      </c>
      <c r="F164" s="8">
        <f t="shared" si="45"/>
        <v>1101</v>
      </c>
      <c r="G164" s="8">
        <v>3</v>
      </c>
      <c r="H164" s="8">
        <v>4</v>
      </c>
      <c r="J164" s="8">
        <f t="shared" si="46"/>
        <v>7</v>
      </c>
      <c r="K164" s="8">
        <v>8</v>
      </c>
      <c r="L164" s="8">
        <v>4</v>
      </c>
      <c r="M164" s="8">
        <v>1</v>
      </c>
      <c r="N164" s="8">
        <f t="shared" si="47"/>
        <v>13</v>
      </c>
      <c r="O164" s="8">
        <v>16</v>
      </c>
      <c r="P164" s="8">
        <v>19</v>
      </c>
      <c r="Q164" s="8">
        <v>4</v>
      </c>
      <c r="R164" s="8">
        <f t="shared" si="48"/>
        <v>39</v>
      </c>
      <c r="S164" s="31">
        <v>2.2000000000000002</v>
      </c>
      <c r="T164" s="30">
        <v>1</v>
      </c>
      <c r="U164" s="66">
        <f>IF(A164='Свод по районам'!$A$27,'Свод по районам'!$G$27,0)</f>
        <v>1.4249213898679656</v>
      </c>
      <c r="V164" s="30">
        <f t="shared" si="64"/>
        <v>3960.7</v>
      </c>
      <c r="W164" s="12">
        <f t="shared" si="62"/>
        <v>2897.1727064595266</v>
      </c>
      <c r="X164" s="11">
        <v>2172.9</v>
      </c>
      <c r="Y164" s="17">
        <f t="shared" si="49"/>
        <v>1787.7999999999997</v>
      </c>
      <c r="Z164" s="17">
        <f t="shared" si="50"/>
        <v>1787.7999999999997</v>
      </c>
      <c r="AA164" s="17">
        <f t="shared" si="51"/>
        <v>0</v>
      </c>
      <c r="AB164" s="20">
        <f t="shared" si="52"/>
        <v>724.27270645952649</v>
      </c>
      <c r="AC164" s="17">
        <f t="shared" si="53"/>
        <v>724.27270645952649</v>
      </c>
      <c r="AD164" s="17">
        <f t="shared" si="54"/>
        <v>0</v>
      </c>
      <c r="AE164" s="8">
        <v>49.7</v>
      </c>
      <c r="AF164" s="28">
        <f t="shared" si="55"/>
        <v>79692.152917505024</v>
      </c>
      <c r="AG164" s="28">
        <f t="shared" si="63"/>
        <v>58293.213409648415</v>
      </c>
      <c r="AH164" s="28">
        <f t="shared" si="56"/>
        <v>43720.32193158954</v>
      </c>
      <c r="AI164" s="42">
        <f t="shared" si="57"/>
        <v>35971.830985915483</v>
      </c>
      <c r="AJ164" s="44">
        <f t="shared" si="44"/>
        <v>67.944444444444429</v>
      </c>
      <c r="AK164" s="45">
        <f t="shared" si="58"/>
        <v>58293.213409648415</v>
      </c>
      <c r="AL164" s="45">
        <f t="shared" si="59"/>
        <v>31980.539656582183</v>
      </c>
      <c r="AM164" s="45">
        <f t="shared" si="60"/>
        <v>26312.673753066232</v>
      </c>
      <c r="AN164" s="23">
        <f t="shared" si="61"/>
        <v>1.3670914375139722</v>
      </c>
      <c r="AP164" s="20" t="e">
        <f>IF(AH164/S164&lt;#REF!,AH164,0)</f>
        <v>#REF!</v>
      </c>
      <c r="AQ164" s="11" t="e">
        <f>IF(AP164&gt;0,(#REF!*S164-AP164)*AE164/1000*1.302*4,0)</f>
        <v>#REF!</v>
      </c>
    </row>
    <row r="165" spans="1:43" x14ac:dyDescent="0.25">
      <c r="A165" s="8" t="s">
        <v>275</v>
      </c>
      <c r="B165" s="30" t="s">
        <v>427</v>
      </c>
      <c r="C165" s="8">
        <v>375</v>
      </c>
      <c r="D165" s="8">
        <v>466</v>
      </c>
      <c r="E165" s="8">
        <v>91</v>
      </c>
      <c r="F165" s="8">
        <f t="shared" si="45"/>
        <v>932</v>
      </c>
      <c r="G165" s="8">
        <v>2</v>
      </c>
      <c r="H165" s="8">
        <v>11</v>
      </c>
      <c r="I165" s="8">
        <v>1</v>
      </c>
      <c r="J165" s="8">
        <f t="shared" si="46"/>
        <v>14</v>
      </c>
      <c r="K165" s="8">
        <v>13</v>
      </c>
      <c r="L165" s="8">
        <v>9</v>
      </c>
      <c r="M165" s="8">
        <v>1</v>
      </c>
      <c r="N165" s="8">
        <f t="shared" si="47"/>
        <v>23</v>
      </c>
      <c r="O165" s="8">
        <v>14</v>
      </c>
      <c r="P165" s="8">
        <v>18</v>
      </c>
      <c r="Q165" s="8">
        <v>4</v>
      </c>
      <c r="R165" s="8">
        <f t="shared" si="48"/>
        <v>36</v>
      </c>
      <c r="S165" s="31">
        <v>2.2000000000000002</v>
      </c>
      <c r="T165" s="30">
        <v>1</v>
      </c>
      <c r="U165" s="66">
        <f>IF(A165='Свод по районам'!$A$27,'Свод по районам'!$G$27,0)</f>
        <v>1.4249213898679656</v>
      </c>
      <c r="V165" s="30">
        <f t="shared" si="64"/>
        <v>3509.7</v>
      </c>
      <c r="W165" s="12">
        <f t="shared" si="62"/>
        <v>2272.8392477514308</v>
      </c>
      <c r="X165" s="11">
        <v>1933.6000000000001</v>
      </c>
      <c r="Y165" s="17">
        <f t="shared" si="49"/>
        <v>1576.0999999999997</v>
      </c>
      <c r="Z165" s="17">
        <f t="shared" si="50"/>
        <v>1576.0999999999997</v>
      </c>
      <c r="AA165" s="17">
        <f t="shared" si="51"/>
        <v>0</v>
      </c>
      <c r="AB165" s="20">
        <f t="shared" si="52"/>
        <v>339.23924775143064</v>
      </c>
      <c r="AC165" s="17">
        <f t="shared" si="53"/>
        <v>339.23924775143064</v>
      </c>
      <c r="AD165" s="17">
        <f t="shared" si="54"/>
        <v>0</v>
      </c>
      <c r="AE165" s="8">
        <v>44</v>
      </c>
      <c r="AF165" s="28">
        <f t="shared" si="55"/>
        <v>79765.909090909088</v>
      </c>
      <c r="AG165" s="28">
        <f t="shared" si="63"/>
        <v>51655.437448896155</v>
      </c>
      <c r="AH165" s="28">
        <f t="shared" si="56"/>
        <v>43945.454545454544</v>
      </c>
      <c r="AI165" s="42">
        <f t="shared" si="57"/>
        <v>35820.454545454544</v>
      </c>
      <c r="AJ165" s="44">
        <f t="shared" si="44"/>
        <v>67.944444444444443</v>
      </c>
      <c r="AK165" s="45">
        <f t="shared" si="58"/>
        <v>51655.437448896162</v>
      </c>
      <c r="AL165" s="45">
        <f t="shared" si="59"/>
        <v>28458.544562551109</v>
      </c>
      <c r="AM165" s="45">
        <f t="shared" si="60"/>
        <v>23196.892886345053</v>
      </c>
      <c r="AN165" s="23">
        <f t="shared" si="61"/>
        <v>1.5441919191919191</v>
      </c>
      <c r="AP165" s="20" t="e">
        <f>IF(AH165/S165&lt;#REF!,AH165,0)</f>
        <v>#REF!</v>
      </c>
      <c r="AQ165" s="11" t="e">
        <f>IF(AP165&gt;0,(#REF!*S165-AP165)*AE165/1000*1.302*4,0)</f>
        <v>#REF!</v>
      </c>
    </row>
    <row r="166" spans="1:43" x14ac:dyDescent="0.25">
      <c r="A166" s="8" t="s">
        <v>275</v>
      </c>
      <c r="B166" s="30" t="s">
        <v>428</v>
      </c>
      <c r="C166" s="8">
        <v>217</v>
      </c>
      <c r="D166" s="8">
        <v>249</v>
      </c>
      <c r="E166" s="8">
        <v>56</v>
      </c>
      <c r="F166" s="8">
        <f t="shared" si="45"/>
        <v>522</v>
      </c>
      <c r="G166" s="8">
        <v>6</v>
      </c>
      <c r="J166" s="8">
        <f t="shared" si="46"/>
        <v>6</v>
      </c>
      <c r="K166" s="8">
        <v>6</v>
      </c>
      <c r="L166" s="8">
        <v>2</v>
      </c>
      <c r="M166" s="8">
        <v>1</v>
      </c>
      <c r="N166" s="8">
        <f t="shared" si="47"/>
        <v>9</v>
      </c>
      <c r="O166" s="8">
        <v>8</v>
      </c>
      <c r="P166" s="8">
        <v>10</v>
      </c>
      <c r="Q166" s="8">
        <v>3</v>
      </c>
      <c r="R166" s="8">
        <f t="shared" si="48"/>
        <v>21</v>
      </c>
      <c r="S166" s="31">
        <v>2.2000000000000002</v>
      </c>
      <c r="T166" s="30">
        <v>1</v>
      </c>
      <c r="U166" s="66">
        <f>IF(A166='Свод по районам'!$A$27,'Свод по районам'!$G$27,0)</f>
        <v>1.4249213898679656</v>
      </c>
      <c r="V166" s="30">
        <f t="shared" si="64"/>
        <v>1920.9</v>
      </c>
      <c r="W166" s="12">
        <f t="shared" si="62"/>
        <v>1392.2275221238938</v>
      </c>
      <c r="X166" s="11">
        <v>1177.0999999999999</v>
      </c>
      <c r="Y166" s="17">
        <f t="shared" si="49"/>
        <v>743.80000000000018</v>
      </c>
      <c r="Z166" s="17">
        <f t="shared" si="50"/>
        <v>743.80000000000018</v>
      </c>
      <c r="AA166" s="17">
        <f t="shared" si="51"/>
        <v>0</v>
      </c>
      <c r="AB166" s="20">
        <f t="shared" si="52"/>
        <v>215.12752212389387</v>
      </c>
      <c r="AC166" s="17">
        <f t="shared" si="53"/>
        <v>215.12752212389387</v>
      </c>
      <c r="AD166" s="17">
        <f t="shared" si="54"/>
        <v>0</v>
      </c>
      <c r="AE166" s="8">
        <v>27.3</v>
      </c>
      <c r="AF166" s="28">
        <f t="shared" si="55"/>
        <v>70362.637362637353</v>
      </c>
      <c r="AG166" s="28">
        <f t="shared" si="63"/>
        <v>50997.345132743365</v>
      </c>
      <c r="AH166" s="28">
        <f t="shared" si="56"/>
        <v>43117.216117216107</v>
      </c>
      <c r="AI166" s="42">
        <f t="shared" si="57"/>
        <v>27245.421245421247</v>
      </c>
      <c r="AJ166" s="44">
        <f t="shared" si="44"/>
        <v>37.666666666666664</v>
      </c>
      <c r="AK166" s="45">
        <f t="shared" si="58"/>
        <v>50997.345132743372</v>
      </c>
      <c r="AL166" s="45">
        <f t="shared" si="59"/>
        <v>31250.442477876106</v>
      </c>
      <c r="AM166" s="45">
        <f t="shared" si="60"/>
        <v>19746.902654867266</v>
      </c>
      <c r="AN166" s="23">
        <f t="shared" si="61"/>
        <v>1.3797313797313797</v>
      </c>
      <c r="AP166" s="20" t="e">
        <f>IF(AH166/S166&lt;#REF!,AH166,0)</f>
        <v>#REF!</v>
      </c>
      <c r="AQ166" s="11" t="e">
        <f>IF(AP166&gt;0,(#REF!*S166-AP166)*AE166/1000*1.302*4,0)</f>
        <v>#REF!</v>
      </c>
    </row>
    <row r="167" spans="1:43" x14ac:dyDescent="0.25">
      <c r="A167" s="8" t="s">
        <v>275</v>
      </c>
      <c r="B167" s="30" t="s">
        <v>424</v>
      </c>
      <c r="C167" s="8">
        <v>152</v>
      </c>
      <c r="D167" s="8">
        <v>199</v>
      </c>
      <c r="E167" s="8">
        <v>14</v>
      </c>
      <c r="F167" s="8">
        <f t="shared" si="45"/>
        <v>365</v>
      </c>
      <c r="G167" s="8">
        <v>6</v>
      </c>
      <c r="H167" s="8">
        <v>2</v>
      </c>
      <c r="J167" s="8">
        <f t="shared" si="46"/>
        <v>8</v>
      </c>
      <c r="K167" s="8">
        <v>15</v>
      </c>
      <c r="L167" s="8">
        <v>15</v>
      </c>
      <c r="M167" s="8">
        <v>0</v>
      </c>
      <c r="N167" s="8">
        <f t="shared" si="47"/>
        <v>30</v>
      </c>
      <c r="O167" s="8">
        <v>8</v>
      </c>
      <c r="P167" s="8">
        <v>10</v>
      </c>
      <c r="Q167" s="8">
        <v>2</v>
      </c>
      <c r="R167" s="8">
        <f t="shared" si="48"/>
        <v>20</v>
      </c>
      <c r="S167" s="31">
        <v>2.2000000000000002</v>
      </c>
      <c r="T167" s="30">
        <v>1</v>
      </c>
      <c r="U167" s="66">
        <f>IF(A167='Свод по районам'!$A$27,'Свод по районам'!$G$27,0)</f>
        <v>1.4249213898679656</v>
      </c>
      <c r="V167" s="30">
        <f t="shared" si="64"/>
        <v>1353.8</v>
      </c>
      <c r="W167" s="12">
        <f t="shared" si="62"/>
        <v>1064.2825301204821</v>
      </c>
      <c r="X167" s="11">
        <v>1136.2</v>
      </c>
      <c r="Y167" s="17">
        <f t="shared" si="49"/>
        <v>217.59999999999991</v>
      </c>
      <c r="Z167" s="17">
        <f t="shared" si="50"/>
        <v>217.59999999999991</v>
      </c>
      <c r="AA167" s="17">
        <f t="shared" si="51"/>
        <v>0</v>
      </c>
      <c r="AB167" s="20">
        <f t="shared" si="52"/>
        <v>-71.917469879517967</v>
      </c>
      <c r="AC167" s="17">
        <f t="shared" si="53"/>
        <v>0</v>
      </c>
      <c r="AD167" s="17">
        <f t="shared" si="54"/>
        <v>-71.917469879517967</v>
      </c>
      <c r="AE167" s="8">
        <v>29</v>
      </c>
      <c r="AF167" s="28">
        <f t="shared" si="55"/>
        <v>46682.758620689652</v>
      </c>
      <c r="AG167" s="28">
        <f t="shared" si="63"/>
        <v>36699.397590361448</v>
      </c>
      <c r="AH167" s="28">
        <f t="shared" si="56"/>
        <v>39179.310344827587</v>
      </c>
      <c r="AI167" s="42">
        <f t="shared" si="57"/>
        <v>7503.4482758620652</v>
      </c>
      <c r="AJ167" s="44">
        <f t="shared" si="44"/>
        <v>36.888888888888886</v>
      </c>
      <c r="AK167" s="45">
        <f t="shared" si="58"/>
        <v>36699.397590361448</v>
      </c>
      <c r="AL167" s="45">
        <f t="shared" si="59"/>
        <v>30800.602409638559</v>
      </c>
      <c r="AM167" s="45">
        <f t="shared" si="60"/>
        <v>5898.7951807228892</v>
      </c>
      <c r="AN167" s="23">
        <f t="shared" si="61"/>
        <v>1.272030651340996</v>
      </c>
      <c r="AP167" s="20" t="e">
        <f>IF(AH167/S167&lt;#REF!,AH167,0)</f>
        <v>#REF!</v>
      </c>
      <c r="AQ167" s="11" t="e">
        <f>IF(AP167&gt;0,(#REF!*S167-AP167)*AE167/1000*1.302*4,0)</f>
        <v>#REF!</v>
      </c>
    </row>
    <row r="168" spans="1:43" x14ac:dyDescent="0.25">
      <c r="A168" s="8" t="s">
        <v>275</v>
      </c>
      <c r="B168" s="30" t="s">
        <v>425</v>
      </c>
      <c r="C168" s="8">
        <v>123</v>
      </c>
      <c r="D168" s="8">
        <v>130</v>
      </c>
      <c r="E168" s="8">
        <v>19</v>
      </c>
      <c r="F168" s="8">
        <f t="shared" si="45"/>
        <v>272</v>
      </c>
      <c r="G168" s="8">
        <v>5</v>
      </c>
      <c r="H168" s="8">
        <v>9</v>
      </c>
      <c r="J168" s="8">
        <f t="shared" si="46"/>
        <v>14</v>
      </c>
      <c r="K168" s="8">
        <v>6</v>
      </c>
      <c r="L168" s="8">
        <v>5</v>
      </c>
      <c r="M168" s="8">
        <v>0</v>
      </c>
      <c r="N168" s="8">
        <f t="shared" si="47"/>
        <v>11</v>
      </c>
      <c r="O168" s="8">
        <v>6</v>
      </c>
      <c r="P168" s="8">
        <v>5</v>
      </c>
      <c r="Q168" s="8">
        <v>2</v>
      </c>
      <c r="R168" s="8">
        <f t="shared" si="48"/>
        <v>13</v>
      </c>
      <c r="S168" s="31">
        <v>2.2000000000000002</v>
      </c>
      <c r="T168" s="30">
        <v>1</v>
      </c>
      <c r="U168" s="66">
        <f>IF(A168='Свод по районам'!$A$27,'Свод по районам'!$G$27,0)</f>
        <v>1.4249213898679656</v>
      </c>
      <c r="V168" s="30">
        <f t="shared" si="64"/>
        <v>1124.2</v>
      </c>
      <c r="W168" s="12">
        <f t="shared" si="62"/>
        <v>719.92038461538471</v>
      </c>
      <c r="X168" s="11">
        <v>729.9</v>
      </c>
      <c r="Y168" s="17">
        <f t="shared" si="49"/>
        <v>394.30000000000007</v>
      </c>
      <c r="Z168" s="17">
        <f t="shared" si="50"/>
        <v>394.30000000000007</v>
      </c>
      <c r="AA168" s="17">
        <f t="shared" si="51"/>
        <v>0</v>
      </c>
      <c r="AB168" s="20">
        <f t="shared" si="52"/>
        <v>-9.979615384615272</v>
      </c>
      <c r="AC168" s="17">
        <f t="shared" si="53"/>
        <v>0</v>
      </c>
      <c r="AD168" s="17">
        <f t="shared" si="54"/>
        <v>-9.979615384615272</v>
      </c>
      <c r="AE168" s="8">
        <v>18.5</v>
      </c>
      <c r="AF168" s="28">
        <f t="shared" si="55"/>
        <v>60767.567567567567</v>
      </c>
      <c r="AG168" s="28">
        <f t="shared" si="63"/>
        <v>38914.61538461539</v>
      </c>
      <c r="AH168" s="28">
        <f t="shared" si="56"/>
        <v>39454.054054054053</v>
      </c>
      <c r="AI168" s="42">
        <f t="shared" si="57"/>
        <v>21313.513513513513</v>
      </c>
      <c r="AJ168" s="44">
        <f t="shared" si="44"/>
        <v>28.888888888888886</v>
      </c>
      <c r="AK168" s="45">
        <f t="shared" si="58"/>
        <v>38914.61538461539</v>
      </c>
      <c r="AL168" s="45">
        <f t="shared" si="59"/>
        <v>25265.769230769234</v>
      </c>
      <c r="AM168" s="45">
        <f t="shared" si="60"/>
        <v>13648.846153846156</v>
      </c>
      <c r="AN168" s="23">
        <f t="shared" si="61"/>
        <v>1.5615615615615615</v>
      </c>
      <c r="AP168" s="20" t="e">
        <f>IF(AH168/S168&lt;#REF!,AH168,0)</f>
        <v>#REF!</v>
      </c>
      <c r="AQ168" s="11" t="e">
        <f>IF(AP168&gt;0,(#REF!*S168-AP168)*AE168/1000*1.302*4,0)</f>
        <v>#REF!</v>
      </c>
    </row>
    <row r="169" spans="1:43" x14ac:dyDescent="0.25">
      <c r="A169" s="8" t="s">
        <v>276</v>
      </c>
      <c r="B169" s="30">
        <v>49</v>
      </c>
      <c r="C169" s="8">
        <v>1038</v>
      </c>
      <c r="D169" s="8">
        <v>1219</v>
      </c>
      <c r="E169" s="8">
        <v>320</v>
      </c>
      <c r="F169" s="8">
        <f t="shared" si="45"/>
        <v>2577</v>
      </c>
      <c r="J169" s="8">
        <f t="shared" si="46"/>
        <v>0</v>
      </c>
      <c r="K169" s="8">
        <v>8</v>
      </c>
      <c r="L169" s="8">
        <v>11</v>
      </c>
      <c r="M169" s="8">
        <v>4</v>
      </c>
      <c r="N169" s="8">
        <f t="shared" si="47"/>
        <v>23</v>
      </c>
      <c r="O169" s="8">
        <v>31</v>
      </c>
      <c r="P169" s="8">
        <v>38</v>
      </c>
      <c r="Q169" s="8">
        <v>10</v>
      </c>
      <c r="R169" s="8">
        <f t="shared" si="48"/>
        <v>79</v>
      </c>
      <c r="S169" s="31">
        <v>1.5</v>
      </c>
      <c r="T169" s="30">
        <v>1</v>
      </c>
      <c r="U169" s="66">
        <f>IF(A169='Свод по районам'!$A$28,'Свод по районам'!$G$28,0)</f>
        <v>1.5375864844115965</v>
      </c>
      <c r="V169" s="30">
        <f t="shared" si="64"/>
        <v>6324.4</v>
      </c>
      <c r="W169" s="12">
        <f t="shared" si="62"/>
        <v>4021.5459541984733</v>
      </c>
      <c r="X169" s="11">
        <v>3177.5</v>
      </c>
      <c r="Y169" s="17">
        <f t="shared" si="49"/>
        <v>3146.8999999999996</v>
      </c>
      <c r="Z169" s="17">
        <f t="shared" si="50"/>
        <v>3146.8999999999996</v>
      </c>
      <c r="AA169" s="17">
        <f t="shared" si="51"/>
        <v>0</v>
      </c>
      <c r="AB169" s="20">
        <f t="shared" si="52"/>
        <v>844.04595419847328</v>
      </c>
      <c r="AC169" s="17">
        <f t="shared" si="53"/>
        <v>844.04595419847328</v>
      </c>
      <c r="AD169" s="17">
        <f t="shared" si="54"/>
        <v>0</v>
      </c>
      <c r="AE169" s="29">
        <v>83.3</v>
      </c>
      <c r="AF169" s="28">
        <f t="shared" si="55"/>
        <v>75923.169267707082</v>
      </c>
      <c r="AG169" s="28">
        <f t="shared" si="63"/>
        <v>48277.862595419851</v>
      </c>
      <c r="AH169" s="28">
        <f t="shared" si="56"/>
        <v>38145.2581032413</v>
      </c>
      <c r="AI169" s="42">
        <f t="shared" si="57"/>
        <v>37777.911164465782</v>
      </c>
      <c r="AJ169" s="44">
        <f t="shared" si="44"/>
        <v>131</v>
      </c>
      <c r="AK169" s="45">
        <f t="shared" si="58"/>
        <v>48277.862595419851</v>
      </c>
      <c r="AL169" s="45">
        <f t="shared" si="59"/>
        <v>24255.725190839694</v>
      </c>
      <c r="AM169" s="45">
        <f t="shared" si="60"/>
        <v>24022.137404580157</v>
      </c>
      <c r="AN169" s="23">
        <f t="shared" si="61"/>
        <v>1.5726290516206483</v>
      </c>
      <c r="AP169" s="20" t="e">
        <f>IF(AH169/S169&lt;#REF!,AH169,0)</f>
        <v>#REF!</v>
      </c>
      <c r="AQ169" s="11" t="e">
        <f>IF(AP169&gt;0,(#REF!*S169-AP169)*AE169/1000*1.302*4,0)</f>
        <v>#REF!</v>
      </c>
    </row>
    <row r="170" spans="1:43" x14ac:dyDescent="0.25">
      <c r="A170" s="8" t="s">
        <v>276</v>
      </c>
      <c r="B170" s="30">
        <v>35</v>
      </c>
      <c r="C170" s="8">
        <v>1064</v>
      </c>
      <c r="D170" s="8">
        <v>1219</v>
      </c>
      <c r="E170" s="8">
        <v>258</v>
      </c>
      <c r="F170" s="8">
        <f t="shared" si="45"/>
        <v>2541</v>
      </c>
      <c r="J170" s="8">
        <f t="shared" si="46"/>
        <v>0</v>
      </c>
      <c r="K170" s="8">
        <v>14</v>
      </c>
      <c r="L170" s="8">
        <v>6</v>
      </c>
      <c r="M170" s="8">
        <v>3</v>
      </c>
      <c r="N170" s="8">
        <f t="shared" si="47"/>
        <v>23</v>
      </c>
      <c r="O170" s="8">
        <v>31</v>
      </c>
      <c r="P170" s="8">
        <v>38</v>
      </c>
      <c r="Q170" s="8">
        <v>9</v>
      </c>
      <c r="R170" s="8">
        <f t="shared" si="48"/>
        <v>78</v>
      </c>
      <c r="S170" s="31">
        <v>1.5</v>
      </c>
      <c r="T170" s="30">
        <v>1</v>
      </c>
      <c r="U170" s="66">
        <f>IF(A170='Свод по районам'!$A$28,'Свод по районам'!$G$28,0)</f>
        <v>1.5375864844115965</v>
      </c>
      <c r="V170" s="30">
        <f t="shared" si="64"/>
        <v>6115.8</v>
      </c>
      <c r="W170" s="12">
        <f t="shared" si="62"/>
        <v>4186.2413953488367</v>
      </c>
      <c r="X170" s="11">
        <v>2972.7</v>
      </c>
      <c r="Y170" s="17">
        <f t="shared" si="49"/>
        <v>3143.1000000000004</v>
      </c>
      <c r="Z170" s="17">
        <f t="shared" si="50"/>
        <v>3143.1000000000004</v>
      </c>
      <c r="AA170" s="17">
        <f t="shared" si="51"/>
        <v>0</v>
      </c>
      <c r="AB170" s="20">
        <f t="shared" si="52"/>
        <v>1213.5413953488369</v>
      </c>
      <c r="AC170" s="17">
        <f t="shared" si="53"/>
        <v>1213.5413953488369</v>
      </c>
      <c r="AD170" s="17">
        <f t="shared" si="54"/>
        <v>0</v>
      </c>
      <c r="AE170" s="29">
        <v>88.3</v>
      </c>
      <c r="AF170" s="28">
        <f t="shared" si="55"/>
        <v>69261.608154020389</v>
      </c>
      <c r="AG170" s="28">
        <f t="shared" si="63"/>
        <v>47409.30232558139</v>
      </c>
      <c r="AH170" s="28">
        <f t="shared" si="56"/>
        <v>33665.91166477916</v>
      </c>
      <c r="AI170" s="42">
        <f t="shared" si="57"/>
        <v>35595.696489241229</v>
      </c>
      <c r="AJ170" s="44">
        <f t="shared" si="44"/>
        <v>129</v>
      </c>
      <c r="AK170" s="45">
        <f t="shared" si="58"/>
        <v>47409.30232558139</v>
      </c>
      <c r="AL170" s="45">
        <f t="shared" si="59"/>
        <v>23044.186046511626</v>
      </c>
      <c r="AM170" s="45">
        <f t="shared" si="60"/>
        <v>24365.116279069764</v>
      </c>
      <c r="AN170" s="23">
        <f t="shared" si="61"/>
        <v>1.4609286523216309</v>
      </c>
      <c r="AP170" s="20" t="e">
        <f>IF(AH170/S170&lt;#REF!,AH170,0)</f>
        <v>#REF!</v>
      </c>
      <c r="AQ170" s="11" t="e">
        <f>IF(AP170&gt;0,(#REF!*S170-AP170)*AE170/1000*1.302*4,0)</f>
        <v>#REF!</v>
      </c>
    </row>
    <row r="171" spans="1:43" x14ac:dyDescent="0.25">
      <c r="A171" s="8" t="s">
        <v>276</v>
      </c>
      <c r="B171" s="30">
        <v>63</v>
      </c>
      <c r="C171" s="8">
        <v>1232</v>
      </c>
      <c r="D171" s="8">
        <v>1105</v>
      </c>
      <c r="E171" s="8">
        <v>149</v>
      </c>
      <c r="F171" s="8">
        <f t="shared" si="45"/>
        <v>2486</v>
      </c>
      <c r="J171" s="8">
        <f t="shared" si="46"/>
        <v>0</v>
      </c>
      <c r="K171" s="8">
        <v>9</v>
      </c>
      <c r="L171" s="8">
        <v>10</v>
      </c>
      <c r="M171" s="8">
        <v>1</v>
      </c>
      <c r="N171" s="8">
        <f t="shared" si="47"/>
        <v>20</v>
      </c>
      <c r="O171" s="8">
        <v>38</v>
      </c>
      <c r="P171" s="8">
        <v>35</v>
      </c>
      <c r="Q171" s="8">
        <v>6</v>
      </c>
      <c r="R171" s="8">
        <f t="shared" si="48"/>
        <v>79</v>
      </c>
      <c r="S171" s="31">
        <v>1.5</v>
      </c>
      <c r="T171" s="30">
        <v>1</v>
      </c>
      <c r="U171" s="66">
        <f>IF(A171='Свод по районам'!$A$28,'Свод по районам'!$G$28,0)</f>
        <v>1.5375864844115965</v>
      </c>
      <c r="V171" s="30">
        <f t="shared" si="64"/>
        <v>5666.2</v>
      </c>
      <c r="W171" s="12">
        <f t="shared" si="62"/>
        <v>3520.3408147174773</v>
      </c>
      <c r="X171" s="11">
        <v>2636.2000000000003</v>
      </c>
      <c r="Y171" s="17">
        <f t="shared" si="49"/>
        <v>3029.9999999999995</v>
      </c>
      <c r="Z171" s="17">
        <f t="shared" si="50"/>
        <v>3029.9999999999995</v>
      </c>
      <c r="AA171" s="17">
        <f t="shared" si="51"/>
        <v>0</v>
      </c>
      <c r="AB171" s="20">
        <f t="shared" si="52"/>
        <v>884.14081471747704</v>
      </c>
      <c r="AC171" s="17">
        <f t="shared" si="53"/>
        <v>884.14081471747704</v>
      </c>
      <c r="AD171" s="17">
        <f t="shared" si="54"/>
        <v>0</v>
      </c>
      <c r="AE171" s="29">
        <v>78.8</v>
      </c>
      <c r="AF171" s="28">
        <f t="shared" si="55"/>
        <v>71906.091370558366</v>
      </c>
      <c r="AG171" s="28">
        <f t="shared" si="63"/>
        <v>44674.37582128778</v>
      </c>
      <c r="AH171" s="28">
        <f t="shared" si="56"/>
        <v>33454.314720812188</v>
      </c>
      <c r="AI171" s="42">
        <f t="shared" si="57"/>
        <v>38451.776649746178</v>
      </c>
      <c r="AJ171" s="44">
        <f t="shared" si="44"/>
        <v>126.83333333333331</v>
      </c>
      <c r="AK171" s="45">
        <f t="shared" si="58"/>
        <v>44674.37582128778</v>
      </c>
      <c r="AL171" s="45">
        <f t="shared" si="59"/>
        <v>20784.756898817348</v>
      </c>
      <c r="AM171" s="45">
        <f t="shared" si="60"/>
        <v>23889.618922470432</v>
      </c>
      <c r="AN171" s="23">
        <f t="shared" si="61"/>
        <v>1.6095600676818949</v>
      </c>
      <c r="AP171" s="20" t="e">
        <f>IF(AH171/S171&lt;#REF!,AH171,0)</f>
        <v>#REF!</v>
      </c>
      <c r="AQ171" s="11" t="e">
        <f>IF(AP171&gt;0,(#REF!*S171-AP171)*AE171/1000*1.302*4,0)</f>
        <v>#REF!</v>
      </c>
    </row>
    <row r="172" spans="1:43" x14ac:dyDescent="0.25">
      <c r="A172" s="8" t="s">
        <v>276</v>
      </c>
      <c r="B172" s="30">
        <v>32</v>
      </c>
      <c r="C172" s="8">
        <v>1015</v>
      </c>
      <c r="D172" s="8">
        <v>1164</v>
      </c>
      <c r="E172" s="8">
        <v>277</v>
      </c>
      <c r="F172" s="8">
        <f t="shared" si="45"/>
        <v>2456</v>
      </c>
      <c r="J172" s="8">
        <f t="shared" si="46"/>
        <v>0</v>
      </c>
      <c r="K172" s="8">
        <v>9</v>
      </c>
      <c r="L172" s="8">
        <v>13</v>
      </c>
      <c r="M172" s="8">
        <v>5</v>
      </c>
      <c r="N172" s="8">
        <f t="shared" si="47"/>
        <v>27</v>
      </c>
      <c r="O172" s="8">
        <v>30</v>
      </c>
      <c r="P172" s="8">
        <v>36</v>
      </c>
      <c r="Q172" s="8">
        <v>9</v>
      </c>
      <c r="R172" s="8">
        <f t="shared" si="48"/>
        <v>75</v>
      </c>
      <c r="S172" s="31">
        <v>1.5</v>
      </c>
      <c r="T172" s="30">
        <v>1</v>
      </c>
      <c r="U172" s="66">
        <f>IF(A172='Свод по районам'!$A$28,'Свод по районам'!$G$28,0)</f>
        <v>1.5375864844115965</v>
      </c>
      <c r="V172" s="30">
        <f t="shared" si="64"/>
        <v>5967.1</v>
      </c>
      <c r="W172" s="12">
        <f t="shared" si="62"/>
        <v>4316.5231451612908</v>
      </c>
      <c r="X172" s="11">
        <v>2796.8</v>
      </c>
      <c r="Y172" s="17">
        <f t="shared" si="49"/>
        <v>3170.3</v>
      </c>
      <c r="Z172" s="17">
        <f t="shared" si="50"/>
        <v>3170.3</v>
      </c>
      <c r="AA172" s="17">
        <f t="shared" si="51"/>
        <v>0</v>
      </c>
      <c r="AB172" s="20">
        <f t="shared" si="52"/>
        <v>1519.7231451612906</v>
      </c>
      <c r="AC172" s="17">
        <f t="shared" si="53"/>
        <v>1519.7231451612906</v>
      </c>
      <c r="AD172" s="17">
        <f t="shared" si="54"/>
        <v>0</v>
      </c>
      <c r="AE172" s="29">
        <v>89.7</v>
      </c>
      <c r="AF172" s="28">
        <f t="shared" si="55"/>
        <v>66522.853957636573</v>
      </c>
      <c r="AG172" s="28">
        <f t="shared" si="63"/>
        <v>48121.774193548394</v>
      </c>
      <c r="AH172" s="28">
        <f t="shared" si="56"/>
        <v>31179.48717948718</v>
      </c>
      <c r="AI172" s="42">
        <f t="shared" si="57"/>
        <v>35343.366778149393</v>
      </c>
      <c r="AJ172" s="44">
        <f t="shared" si="44"/>
        <v>124</v>
      </c>
      <c r="AK172" s="45">
        <f t="shared" si="58"/>
        <v>48121.774193548394</v>
      </c>
      <c r="AL172" s="45">
        <f t="shared" si="59"/>
        <v>22554.83870967742</v>
      </c>
      <c r="AM172" s="45">
        <f t="shared" si="60"/>
        <v>25566.935483870973</v>
      </c>
      <c r="AN172" s="23">
        <f t="shared" si="61"/>
        <v>1.3823857302118172</v>
      </c>
      <c r="AP172" s="20" t="e">
        <f>IF(AH172/S172&lt;#REF!,AH172,0)</f>
        <v>#REF!</v>
      </c>
      <c r="AQ172" s="11" t="e">
        <f>IF(AP172&gt;0,(#REF!*S172-AP172)*AE172/1000*1.302*4,0)</f>
        <v>#REF!</v>
      </c>
    </row>
    <row r="173" spans="1:43" x14ac:dyDescent="0.25">
      <c r="A173" s="8" t="s">
        <v>276</v>
      </c>
      <c r="B173" s="30">
        <v>8</v>
      </c>
      <c r="C173" s="8">
        <v>1115</v>
      </c>
      <c r="D173" s="8">
        <v>1179</v>
      </c>
      <c r="E173" s="8">
        <v>121</v>
      </c>
      <c r="F173" s="8">
        <f t="shared" si="45"/>
        <v>2415</v>
      </c>
      <c r="H173" s="8">
        <v>1</v>
      </c>
      <c r="J173" s="8">
        <f t="shared" si="46"/>
        <v>1</v>
      </c>
      <c r="K173" s="8">
        <v>16</v>
      </c>
      <c r="L173" s="8">
        <v>8</v>
      </c>
      <c r="M173" s="8">
        <v>0</v>
      </c>
      <c r="N173" s="8">
        <f t="shared" si="47"/>
        <v>24</v>
      </c>
      <c r="O173" s="8">
        <v>36</v>
      </c>
      <c r="P173" s="8">
        <v>37</v>
      </c>
      <c r="Q173" s="8">
        <v>4</v>
      </c>
      <c r="R173" s="8">
        <f t="shared" si="48"/>
        <v>77</v>
      </c>
      <c r="S173" s="31">
        <v>1.5</v>
      </c>
      <c r="T173" s="30">
        <v>1</v>
      </c>
      <c r="U173" s="66">
        <f>IF(A173='Свод по районам'!$A$28,'Свод по районам'!$G$28,0)</f>
        <v>1.5375864844115965</v>
      </c>
      <c r="V173" s="30">
        <f t="shared" si="64"/>
        <v>5551.3</v>
      </c>
      <c r="W173" s="12">
        <f t="shared" si="62"/>
        <v>3756.0492321428574</v>
      </c>
      <c r="X173" s="11">
        <v>2988</v>
      </c>
      <c r="Y173" s="17">
        <f t="shared" si="49"/>
        <v>2563.3000000000002</v>
      </c>
      <c r="Z173" s="17">
        <f t="shared" si="50"/>
        <v>2563.3000000000002</v>
      </c>
      <c r="AA173" s="17">
        <f t="shared" si="51"/>
        <v>0</v>
      </c>
      <c r="AB173" s="20">
        <f t="shared" si="52"/>
        <v>768.04923214285736</v>
      </c>
      <c r="AC173" s="17">
        <f t="shared" si="53"/>
        <v>768.04923214285736</v>
      </c>
      <c r="AD173" s="17">
        <f t="shared" si="54"/>
        <v>0</v>
      </c>
      <c r="AE173" s="29">
        <v>84.2</v>
      </c>
      <c r="AF173" s="28">
        <f t="shared" si="55"/>
        <v>65929.928741092634</v>
      </c>
      <c r="AG173" s="28">
        <f t="shared" si="63"/>
        <v>44608.66071428571</v>
      </c>
      <c r="AH173" s="28">
        <f t="shared" si="56"/>
        <v>35486.935866983375</v>
      </c>
      <c r="AI173" s="42">
        <f t="shared" si="57"/>
        <v>30442.992874109259</v>
      </c>
      <c r="AJ173" s="44">
        <f t="shared" si="44"/>
        <v>124.44444444444444</v>
      </c>
      <c r="AK173" s="45">
        <f t="shared" si="58"/>
        <v>44608.660714285717</v>
      </c>
      <c r="AL173" s="45">
        <f t="shared" si="59"/>
        <v>24010.714285714286</v>
      </c>
      <c r="AM173" s="45">
        <f t="shared" si="60"/>
        <v>20597.946428571431</v>
      </c>
      <c r="AN173" s="23">
        <f t="shared" si="61"/>
        <v>1.4779625230931643</v>
      </c>
      <c r="AP173" s="20" t="e">
        <f>IF(AH173/S173&lt;#REF!,AH173,0)</f>
        <v>#REF!</v>
      </c>
      <c r="AQ173" s="11" t="e">
        <f>IF(AP173&gt;0,(#REF!*S173-AP173)*AE173/1000*1.302*4,0)</f>
        <v>#REF!</v>
      </c>
    </row>
    <row r="174" spans="1:43" x14ac:dyDescent="0.25">
      <c r="A174" s="8" t="s">
        <v>276</v>
      </c>
      <c r="B174" s="30">
        <v>14</v>
      </c>
      <c r="C174" s="8">
        <v>839</v>
      </c>
      <c r="D174" s="8">
        <v>917</v>
      </c>
      <c r="E174" s="8">
        <v>293</v>
      </c>
      <c r="F174" s="8">
        <f t="shared" si="45"/>
        <v>2049</v>
      </c>
      <c r="J174" s="8">
        <f t="shared" si="46"/>
        <v>0</v>
      </c>
      <c r="K174" s="8">
        <v>5</v>
      </c>
      <c r="L174" s="8">
        <v>7</v>
      </c>
      <c r="M174" s="8">
        <v>3</v>
      </c>
      <c r="N174" s="8">
        <f t="shared" si="47"/>
        <v>15</v>
      </c>
      <c r="O174" s="8">
        <v>23</v>
      </c>
      <c r="P174" s="8">
        <v>27</v>
      </c>
      <c r="Q174" s="8">
        <v>10</v>
      </c>
      <c r="R174" s="8">
        <f t="shared" si="48"/>
        <v>60</v>
      </c>
      <c r="S174" s="31">
        <v>1.5</v>
      </c>
      <c r="T174" s="30">
        <v>1</v>
      </c>
      <c r="U174" s="66">
        <f>IF(A174='Свод по районам'!$A$28,'Свод по районам'!$G$28,0)</f>
        <v>1.5375864844115965</v>
      </c>
      <c r="V174" s="30">
        <f t="shared" si="64"/>
        <v>5071.6000000000004</v>
      </c>
      <c r="W174" s="12">
        <f t="shared" si="62"/>
        <v>3630.2867221297847</v>
      </c>
      <c r="X174" s="11">
        <v>2440.5</v>
      </c>
      <c r="Y174" s="17">
        <f t="shared" si="49"/>
        <v>2631.1000000000004</v>
      </c>
      <c r="Z174" s="17">
        <f t="shared" si="50"/>
        <v>2631.1000000000004</v>
      </c>
      <c r="AA174" s="17">
        <f t="shared" si="51"/>
        <v>0</v>
      </c>
      <c r="AB174" s="20">
        <f t="shared" si="52"/>
        <v>1189.7867221297847</v>
      </c>
      <c r="AC174" s="17">
        <f t="shared" si="53"/>
        <v>1189.7867221297847</v>
      </c>
      <c r="AD174" s="17">
        <f t="shared" si="54"/>
        <v>0</v>
      </c>
      <c r="AE174" s="29">
        <v>71.7</v>
      </c>
      <c r="AF174" s="28">
        <f t="shared" si="55"/>
        <v>70733.612273361228</v>
      </c>
      <c r="AG174" s="28">
        <f t="shared" si="63"/>
        <v>50631.613976705499</v>
      </c>
      <c r="AH174" s="28">
        <f t="shared" si="56"/>
        <v>34037.656903765688</v>
      </c>
      <c r="AI174" s="42">
        <f t="shared" si="57"/>
        <v>36695.95536959554</v>
      </c>
      <c r="AJ174" s="44">
        <f t="shared" ref="AJ174:AJ205" si="65">(O174*$E$10+P174*$E$11+Q174*$E$12)+(G174*$S$10+H174*$S$11+I174*$S$12)</f>
        <v>100.16666666666666</v>
      </c>
      <c r="AK174" s="45">
        <f t="shared" si="58"/>
        <v>50631.613976705499</v>
      </c>
      <c r="AL174" s="45">
        <f t="shared" si="59"/>
        <v>24364.392678868553</v>
      </c>
      <c r="AM174" s="45">
        <f t="shared" si="60"/>
        <v>26267.221297836946</v>
      </c>
      <c r="AN174" s="23">
        <f t="shared" si="61"/>
        <v>1.3970246397024637</v>
      </c>
      <c r="AP174" s="20" t="e">
        <f>IF(AH174/S174&lt;#REF!,AH174,0)</f>
        <v>#REF!</v>
      </c>
      <c r="AQ174" s="11" t="e">
        <f>IF(AP174&gt;0,(#REF!*S174-AP174)*AE174/1000*1.302*4,0)</f>
        <v>#REF!</v>
      </c>
    </row>
    <row r="175" spans="1:43" x14ac:dyDescent="0.25">
      <c r="A175" s="8" t="s">
        <v>276</v>
      </c>
      <c r="B175" s="30">
        <v>47</v>
      </c>
      <c r="C175" s="8">
        <v>929</v>
      </c>
      <c r="D175" s="8">
        <v>831</v>
      </c>
      <c r="E175" s="8">
        <v>154</v>
      </c>
      <c r="F175" s="8">
        <f t="shared" si="45"/>
        <v>1914</v>
      </c>
      <c r="J175" s="8">
        <f t="shared" si="46"/>
        <v>0</v>
      </c>
      <c r="K175" s="8">
        <v>8</v>
      </c>
      <c r="L175" s="8">
        <v>7</v>
      </c>
      <c r="M175" s="8">
        <v>3</v>
      </c>
      <c r="N175" s="8">
        <f t="shared" si="47"/>
        <v>18</v>
      </c>
      <c r="O175" s="8">
        <v>29</v>
      </c>
      <c r="P175" s="8">
        <v>28</v>
      </c>
      <c r="Q175" s="8">
        <v>5</v>
      </c>
      <c r="R175" s="8">
        <f t="shared" si="48"/>
        <v>62</v>
      </c>
      <c r="S175" s="31">
        <v>1.5</v>
      </c>
      <c r="T175" s="30">
        <v>1</v>
      </c>
      <c r="U175" s="66">
        <f>IF(A175='Свод по районам'!$A$28,'Свод по районам'!$G$28,0)</f>
        <v>1.5375864844115965</v>
      </c>
      <c r="V175" s="30">
        <f t="shared" si="64"/>
        <v>4438.6000000000004</v>
      </c>
      <c r="W175" s="12">
        <f t="shared" si="62"/>
        <v>2485.616</v>
      </c>
      <c r="X175" s="11">
        <v>2244</v>
      </c>
      <c r="Y175" s="17">
        <f t="shared" si="49"/>
        <v>2194.6000000000004</v>
      </c>
      <c r="Z175" s="17">
        <f t="shared" si="50"/>
        <v>2194.6000000000004</v>
      </c>
      <c r="AA175" s="17">
        <f t="shared" si="51"/>
        <v>0</v>
      </c>
      <c r="AB175" s="20">
        <f t="shared" si="52"/>
        <v>241.61599999999999</v>
      </c>
      <c r="AC175" s="17">
        <f t="shared" si="53"/>
        <v>241.61599999999999</v>
      </c>
      <c r="AD175" s="17">
        <f t="shared" si="54"/>
        <v>0</v>
      </c>
      <c r="AE175" s="29">
        <v>56</v>
      </c>
      <c r="AF175" s="28">
        <f t="shared" si="55"/>
        <v>79260.71428571429</v>
      </c>
      <c r="AG175" s="28">
        <f t="shared" si="63"/>
        <v>44386</v>
      </c>
      <c r="AH175" s="28">
        <f t="shared" si="56"/>
        <v>40071.428571428572</v>
      </c>
      <c r="AI175" s="42">
        <f t="shared" si="57"/>
        <v>39189.285714285717</v>
      </c>
      <c r="AJ175" s="44">
        <f t="shared" si="65"/>
        <v>100</v>
      </c>
      <c r="AK175" s="45">
        <f t="shared" si="58"/>
        <v>44386</v>
      </c>
      <c r="AL175" s="45">
        <f t="shared" si="59"/>
        <v>22440</v>
      </c>
      <c r="AM175" s="45">
        <f t="shared" si="60"/>
        <v>21946</v>
      </c>
      <c r="AN175" s="23">
        <f t="shared" si="61"/>
        <v>1.7857142857142858</v>
      </c>
      <c r="AP175" s="20" t="e">
        <f>IF(AH175/S175&lt;#REF!,AH175,0)</f>
        <v>#REF!</v>
      </c>
      <c r="AQ175" s="11" t="e">
        <f>IF(AP175&gt;0,(#REF!*S175-AP175)*AE175/1000*1.302*4,0)</f>
        <v>#REF!</v>
      </c>
    </row>
    <row r="176" spans="1:43" x14ac:dyDescent="0.25">
      <c r="A176" s="8" t="s">
        <v>276</v>
      </c>
      <c r="B176" s="30">
        <v>19</v>
      </c>
      <c r="C176" s="8">
        <v>804</v>
      </c>
      <c r="D176" s="8">
        <v>892</v>
      </c>
      <c r="E176" s="8">
        <v>190</v>
      </c>
      <c r="F176" s="8">
        <f t="shared" si="45"/>
        <v>1886</v>
      </c>
      <c r="J176" s="8">
        <f t="shared" si="46"/>
        <v>0</v>
      </c>
      <c r="K176" s="8">
        <v>11</v>
      </c>
      <c r="L176" s="8">
        <v>8</v>
      </c>
      <c r="M176" s="8">
        <v>1</v>
      </c>
      <c r="N176" s="8">
        <f t="shared" si="47"/>
        <v>20</v>
      </c>
      <c r="O176" s="8">
        <v>27</v>
      </c>
      <c r="P176" s="8">
        <v>31</v>
      </c>
      <c r="Q176" s="8">
        <v>9</v>
      </c>
      <c r="R176" s="8">
        <f t="shared" si="48"/>
        <v>67</v>
      </c>
      <c r="S176" s="31">
        <v>1.5</v>
      </c>
      <c r="T176" s="30">
        <v>1</v>
      </c>
      <c r="U176" s="66">
        <f>IF(A176='Свод по районам'!$A$28,'Свод по районам'!$G$28,0)</f>
        <v>1.5375864844115965</v>
      </c>
      <c r="V176" s="30">
        <f t="shared" si="64"/>
        <v>4525.8999999999996</v>
      </c>
      <c r="W176" s="12">
        <f t="shared" si="62"/>
        <v>3070.8061353383459</v>
      </c>
      <c r="X176" s="11">
        <v>2235.5</v>
      </c>
      <c r="Y176" s="17">
        <f t="shared" si="49"/>
        <v>2290.3999999999996</v>
      </c>
      <c r="Z176" s="17">
        <f t="shared" si="50"/>
        <v>2290.3999999999996</v>
      </c>
      <c r="AA176" s="17">
        <f t="shared" si="51"/>
        <v>0</v>
      </c>
      <c r="AB176" s="20">
        <f t="shared" si="52"/>
        <v>835.30613533834594</v>
      </c>
      <c r="AC176" s="17">
        <f t="shared" si="53"/>
        <v>835.30613533834594</v>
      </c>
      <c r="AD176" s="17">
        <f t="shared" si="54"/>
        <v>0</v>
      </c>
      <c r="AE176" s="29">
        <v>75.2</v>
      </c>
      <c r="AF176" s="28">
        <f t="shared" si="55"/>
        <v>60184.840425531911</v>
      </c>
      <c r="AG176" s="28">
        <f t="shared" si="63"/>
        <v>40835.187969924809</v>
      </c>
      <c r="AH176" s="28">
        <f t="shared" si="56"/>
        <v>29727.393617021273</v>
      </c>
      <c r="AI176" s="42">
        <f t="shared" si="57"/>
        <v>30457.446808510638</v>
      </c>
      <c r="AJ176" s="44">
        <f t="shared" si="65"/>
        <v>110.83333333333333</v>
      </c>
      <c r="AK176" s="45">
        <f t="shared" si="58"/>
        <v>40835.187969924809</v>
      </c>
      <c r="AL176" s="45">
        <f t="shared" si="59"/>
        <v>20169.924812030076</v>
      </c>
      <c r="AM176" s="45">
        <f t="shared" si="60"/>
        <v>20665.263157894733</v>
      </c>
      <c r="AN176" s="23">
        <f t="shared" si="61"/>
        <v>1.4738475177304964</v>
      </c>
      <c r="AP176" s="20" t="e">
        <f>IF(AH176/S176&lt;#REF!,AH176,0)</f>
        <v>#REF!</v>
      </c>
      <c r="AQ176" s="11" t="e">
        <f>IF(AP176&gt;0,(#REF!*S176-AP176)*AE176/1000*1.302*4,0)</f>
        <v>#REF!</v>
      </c>
    </row>
    <row r="177" spans="1:43" x14ac:dyDescent="0.25">
      <c r="A177" s="8" t="s">
        <v>276</v>
      </c>
      <c r="B177" s="30">
        <v>17</v>
      </c>
      <c r="C177" s="8">
        <v>853</v>
      </c>
      <c r="D177" s="8">
        <v>872</v>
      </c>
      <c r="E177" s="8">
        <v>128</v>
      </c>
      <c r="F177" s="8">
        <f t="shared" si="45"/>
        <v>1853</v>
      </c>
      <c r="J177" s="8">
        <f t="shared" si="46"/>
        <v>0</v>
      </c>
      <c r="K177" s="8">
        <v>7</v>
      </c>
      <c r="L177" s="8">
        <v>2</v>
      </c>
      <c r="M177" s="8">
        <v>0</v>
      </c>
      <c r="N177" s="8">
        <f t="shared" si="47"/>
        <v>9</v>
      </c>
      <c r="O177" s="8">
        <v>24</v>
      </c>
      <c r="P177" s="8">
        <v>27</v>
      </c>
      <c r="Q177" s="8">
        <v>4</v>
      </c>
      <c r="R177" s="8">
        <f t="shared" si="48"/>
        <v>55</v>
      </c>
      <c r="S177" s="31">
        <v>1.5</v>
      </c>
      <c r="T177" s="30">
        <v>1</v>
      </c>
      <c r="U177" s="66">
        <f>IF(A177='Свод по районам'!$A$28,'Свод по районам'!$G$28,0)</f>
        <v>1.5375864844115965</v>
      </c>
      <c r="V177" s="30">
        <f t="shared" si="64"/>
        <v>4301.3</v>
      </c>
      <c r="W177" s="12">
        <f t="shared" si="62"/>
        <v>3268.0268156424581</v>
      </c>
      <c r="X177" s="11">
        <v>2226.6000000000004</v>
      </c>
      <c r="Y177" s="17">
        <f t="shared" si="49"/>
        <v>2074.6999999999998</v>
      </c>
      <c r="Z177" s="17">
        <f t="shared" si="50"/>
        <v>2074.6999999999998</v>
      </c>
      <c r="AA177" s="17">
        <f t="shared" si="51"/>
        <v>0</v>
      </c>
      <c r="AB177" s="20">
        <f t="shared" si="52"/>
        <v>1041.4268156424578</v>
      </c>
      <c r="AC177" s="17">
        <f t="shared" si="53"/>
        <v>1041.4268156424578</v>
      </c>
      <c r="AD177" s="17">
        <f t="shared" si="54"/>
        <v>0</v>
      </c>
      <c r="AE177" s="29">
        <v>68</v>
      </c>
      <c r="AF177" s="28">
        <f t="shared" si="55"/>
        <v>63254.411764705888</v>
      </c>
      <c r="AG177" s="28">
        <f t="shared" si="63"/>
        <v>48059.217877094976</v>
      </c>
      <c r="AH177" s="28">
        <f t="shared" si="56"/>
        <v>32744.117647058829</v>
      </c>
      <c r="AI177" s="42">
        <f t="shared" si="57"/>
        <v>30510.294117647059</v>
      </c>
      <c r="AJ177" s="44">
        <f t="shared" si="65"/>
        <v>89.5</v>
      </c>
      <c r="AK177" s="45">
        <f t="shared" si="58"/>
        <v>48059.217877094976</v>
      </c>
      <c r="AL177" s="45">
        <f t="shared" si="59"/>
        <v>24878.212290502797</v>
      </c>
      <c r="AM177" s="45">
        <f t="shared" si="60"/>
        <v>23181.005586592179</v>
      </c>
      <c r="AN177" s="23">
        <f t="shared" si="61"/>
        <v>1.3161764705882353</v>
      </c>
      <c r="AP177" s="20" t="e">
        <f>IF(AH177/S177&lt;#REF!,AH177,0)</f>
        <v>#REF!</v>
      </c>
      <c r="AQ177" s="11" t="e">
        <f>IF(AP177&gt;0,(#REF!*S177-AP177)*AE177/1000*1.302*4,0)</f>
        <v>#REF!</v>
      </c>
    </row>
    <row r="178" spans="1:43" x14ac:dyDescent="0.25">
      <c r="A178" s="8" t="s">
        <v>276</v>
      </c>
      <c r="B178" s="30">
        <v>25</v>
      </c>
      <c r="C178" s="8">
        <v>820</v>
      </c>
      <c r="D178" s="8">
        <v>838</v>
      </c>
      <c r="E178" s="8">
        <v>176</v>
      </c>
      <c r="F178" s="8">
        <f t="shared" si="45"/>
        <v>1834</v>
      </c>
      <c r="J178" s="8">
        <f t="shared" si="46"/>
        <v>0</v>
      </c>
      <c r="K178" s="8">
        <v>7</v>
      </c>
      <c r="L178" s="8">
        <v>10</v>
      </c>
      <c r="M178" s="8">
        <v>3</v>
      </c>
      <c r="N178" s="8">
        <f t="shared" si="47"/>
        <v>20</v>
      </c>
      <c r="O178" s="8">
        <v>24</v>
      </c>
      <c r="P178" s="8">
        <v>25</v>
      </c>
      <c r="Q178" s="8">
        <v>6</v>
      </c>
      <c r="R178" s="8">
        <f t="shared" si="48"/>
        <v>55</v>
      </c>
      <c r="S178" s="31">
        <v>1.5</v>
      </c>
      <c r="T178" s="30">
        <v>1</v>
      </c>
      <c r="U178" s="66">
        <f>IF(A178='Свод по районам'!$A$28,'Свод по районам'!$G$28,0)</f>
        <v>1.5375864844115965</v>
      </c>
      <c r="V178" s="30">
        <f t="shared" si="64"/>
        <v>4356.8</v>
      </c>
      <c r="W178" s="12">
        <f t="shared" si="62"/>
        <v>2924.4716883116885</v>
      </c>
      <c r="X178" s="11">
        <v>2041.3999999999996</v>
      </c>
      <c r="Y178" s="17">
        <f t="shared" si="49"/>
        <v>2315.4000000000005</v>
      </c>
      <c r="Z178" s="17">
        <f t="shared" si="50"/>
        <v>2315.4000000000005</v>
      </c>
      <c r="AA178" s="17">
        <f t="shared" si="51"/>
        <v>0</v>
      </c>
      <c r="AB178" s="20">
        <f t="shared" si="52"/>
        <v>883.07168831168883</v>
      </c>
      <c r="AC178" s="17">
        <f t="shared" si="53"/>
        <v>883.07168831168883</v>
      </c>
      <c r="AD178" s="17">
        <f t="shared" si="54"/>
        <v>0</v>
      </c>
      <c r="AE178" s="29">
        <v>60.3</v>
      </c>
      <c r="AF178" s="28">
        <f t="shared" si="55"/>
        <v>72252.072968490873</v>
      </c>
      <c r="AG178" s="28">
        <f t="shared" si="63"/>
        <v>48498.701298701308</v>
      </c>
      <c r="AH178" s="28">
        <f t="shared" si="56"/>
        <v>33854.063018242116</v>
      </c>
      <c r="AI178" s="42">
        <f t="shared" si="57"/>
        <v>38398.009950248757</v>
      </c>
      <c r="AJ178" s="44">
        <f t="shared" si="65"/>
        <v>89.833333333333329</v>
      </c>
      <c r="AK178" s="45">
        <f t="shared" si="58"/>
        <v>48498.701298701308</v>
      </c>
      <c r="AL178" s="45">
        <f t="shared" si="59"/>
        <v>22724.304267161409</v>
      </c>
      <c r="AM178" s="45">
        <f t="shared" si="60"/>
        <v>25774.397031539898</v>
      </c>
      <c r="AN178" s="23">
        <f t="shared" si="61"/>
        <v>1.4897733554449972</v>
      </c>
      <c r="AP178" s="20" t="e">
        <f>IF(AH178/S178&lt;#REF!,AH178,0)</f>
        <v>#REF!</v>
      </c>
      <c r="AQ178" s="11" t="e">
        <f>IF(AP178&gt;0,(#REF!*S178-AP178)*AE178/1000*1.302*4,0)</f>
        <v>#REF!</v>
      </c>
    </row>
    <row r="179" spans="1:43" x14ac:dyDescent="0.25">
      <c r="A179" s="8" t="s">
        <v>276</v>
      </c>
      <c r="B179" s="30">
        <v>56</v>
      </c>
      <c r="C179" s="8">
        <v>824</v>
      </c>
      <c r="D179" s="8">
        <v>857</v>
      </c>
      <c r="E179" s="8">
        <v>127</v>
      </c>
      <c r="F179" s="8">
        <f t="shared" si="45"/>
        <v>1808</v>
      </c>
      <c r="H179" s="8">
        <v>1</v>
      </c>
      <c r="J179" s="8">
        <f t="shared" si="46"/>
        <v>1</v>
      </c>
      <c r="K179" s="8">
        <v>10</v>
      </c>
      <c r="L179" s="8">
        <v>8</v>
      </c>
      <c r="M179" s="8">
        <v>1</v>
      </c>
      <c r="N179" s="8">
        <f t="shared" si="47"/>
        <v>19</v>
      </c>
      <c r="O179" s="8">
        <v>25</v>
      </c>
      <c r="P179" s="8">
        <v>28</v>
      </c>
      <c r="Q179" s="8">
        <v>4</v>
      </c>
      <c r="R179" s="8">
        <f t="shared" si="48"/>
        <v>57</v>
      </c>
      <c r="S179" s="31">
        <v>1.5</v>
      </c>
      <c r="T179" s="30">
        <v>1</v>
      </c>
      <c r="U179" s="66">
        <f>IF(A179='Свод по районам'!$A$28,'Свод по районам'!$G$28,0)</f>
        <v>1.5375864844115965</v>
      </c>
      <c r="V179" s="30">
        <f t="shared" si="64"/>
        <v>4222.2</v>
      </c>
      <c r="W179" s="12">
        <f t="shared" si="62"/>
        <v>3136.8506730196546</v>
      </c>
      <c r="X179" s="11">
        <v>2093.5</v>
      </c>
      <c r="Y179" s="17">
        <f t="shared" si="49"/>
        <v>2128.6999999999998</v>
      </c>
      <c r="Z179" s="17">
        <f t="shared" si="50"/>
        <v>2128.6999999999998</v>
      </c>
      <c r="AA179" s="17">
        <f t="shared" si="51"/>
        <v>0</v>
      </c>
      <c r="AB179" s="20">
        <f t="shared" si="52"/>
        <v>1043.3506730196546</v>
      </c>
      <c r="AC179" s="17">
        <f t="shared" si="53"/>
        <v>1043.3506730196546</v>
      </c>
      <c r="AD179" s="17">
        <f t="shared" si="54"/>
        <v>0</v>
      </c>
      <c r="AE179" s="29">
        <v>69.3</v>
      </c>
      <c r="AF179" s="28">
        <f t="shared" si="55"/>
        <v>60926.406926406926</v>
      </c>
      <c r="AG179" s="28">
        <f t="shared" si="63"/>
        <v>45264.800476474091</v>
      </c>
      <c r="AH179" s="28">
        <f t="shared" si="56"/>
        <v>30209.235209235208</v>
      </c>
      <c r="AI179" s="42">
        <f t="shared" si="57"/>
        <v>30717.171717171717</v>
      </c>
      <c r="AJ179" s="44">
        <f t="shared" si="65"/>
        <v>93.277777777777771</v>
      </c>
      <c r="AK179" s="45">
        <f t="shared" si="58"/>
        <v>45264.800476474091</v>
      </c>
      <c r="AL179" s="45">
        <f t="shared" si="59"/>
        <v>22443.716497915429</v>
      </c>
      <c r="AM179" s="45">
        <f t="shared" si="60"/>
        <v>22821.083978558661</v>
      </c>
      <c r="AN179" s="23">
        <f t="shared" si="61"/>
        <v>1.3459996793330127</v>
      </c>
      <c r="AP179" s="20" t="e">
        <f>IF(AH179/S179&lt;#REF!,AH179,0)</f>
        <v>#REF!</v>
      </c>
      <c r="AQ179" s="11" t="e">
        <f>IF(AP179&gt;0,(#REF!*S179-AP179)*AE179/1000*1.302*4,0)</f>
        <v>#REF!</v>
      </c>
    </row>
    <row r="180" spans="1:43" x14ac:dyDescent="0.25">
      <c r="A180" s="8" t="s">
        <v>276</v>
      </c>
      <c r="B180" s="30">
        <v>54</v>
      </c>
      <c r="C180" s="8">
        <v>809</v>
      </c>
      <c r="D180" s="8">
        <v>840</v>
      </c>
      <c r="E180" s="8">
        <v>85</v>
      </c>
      <c r="F180" s="8">
        <f t="shared" si="45"/>
        <v>1734</v>
      </c>
      <c r="J180" s="8">
        <f t="shared" si="46"/>
        <v>0</v>
      </c>
      <c r="K180" s="8">
        <v>4</v>
      </c>
      <c r="L180" s="8">
        <v>9</v>
      </c>
      <c r="M180" s="8">
        <v>2</v>
      </c>
      <c r="N180" s="8">
        <f t="shared" si="47"/>
        <v>15</v>
      </c>
      <c r="O180" s="8">
        <v>25</v>
      </c>
      <c r="P180" s="8">
        <v>27</v>
      </c>
      <c r="Q180" s="8">
        <v>3</v>
      </c>
      <c r="R180" s="8">
        <f t="shared" si="48"/>
        <v>55</v>
      </c>
      <c r="S180" s="31">
        <v>1.5</v>
      </c>
      <c r="T180" s="30">
        <v>1</v>
      </c>
      <c r="U180" s="66">
        <f>IF(A180='Свод по районам'!$A$28,'Свод по районам'!$G$28,0)</f>
        <v>1.5375864844115965</v>
      </c>
      <c r="V180" s="30">
        <f t="shared" si="64"/>
        <v>3969.4</v>
      </c>
      <c r="W180" s="12">
        <f t="shared" si="62"/>
        <v>2993.806378986867</v>
      </c>
      <c r="X180" s="11">
        <v>2027.9</v>
      </c>
      <c r="Y180" s="17">
        <f t="shared" si="49"/>
        <v>1941.5</v>
      </c>
      <c r="Z180" s="17">
        <f t="shared" si="50"/>
        <v>1941.5</v>
      </c>
      <c r="AA180" s="17">
        <f t="shared" si="51"/>
        <v>0</v>
      </c>
      <c r="AB180" s="20">
        <f t="shared" si="52"/>
        <v>965.90637898686691</v>
      </c>
      <c r="AC180" s="17">
        <f t="shared" si="53"/>
        <v>965.90637898686691</v>
      </c>
      <c r="AD180" s="17">
        <f t="shared" si="54"/>
        <v>0</v>
      </c>
      <c r="AE180" s="29">
        <v>67</v>
      </c>
      <c r="AF180" s="28">
        <f t="shared" si="55"/>
        <v>59244.776119402988</v>
      </c>
      <c r="AG180" s="28">
        <f t="shared" si="63"/>
        <v>44683.677298311442</v>
      </c>
      <c r="AH180" s="28">
        <f t="shared" si="56"/>
        <v>30267.164179104479</v>
      </c>
      <c r="AI180" s="42">
        <f t="shared" si="57"/>
        <v>28977.61194029851</v>
      </c>
      <c r="AJ180" s="44">
        <f t="shared" si="65"/>
        <v>88.833333333333329</v>
      </c>
      <c r="AK180" s="45">
        <f t="shared" si="58"/>
        <v>44683.67729831145</v>
      </c>
      <c r="AL180" s="45">
        <f t="shared" si="59"/>
        <v>22828.142589118201</v>
      </c>
      <c r="AM180" s="45">
        <f t="shared" si="60"/>
        <v>21855.534709193249</v>
      </c>
      <c r="AN180" s="23">
        <f t="shared" si="61"/>
        <v>1.3258706467661692</v>
      </c>
      <c r="AP180" s="20" t="e">
        <f>IF(AH180/S180&lt;#REF!,AH180,0)</f>
        <v>#REF!</v>
      </c>
      <c r="AQ180" s="11" t="e">
        <f>IF(AP180&gt;0,(#REF!*S180-AP180)*AE180/1000*1.302*4,0)</f>
        <v>#REF!</v>
      </c>
    </row>
    <row r="181" spans="1:43" x14ac:dyDescent="0.25">
      <c r="A181" s="8" t="s">
        <v>276</v>
      </c>
      <c r="B181" s="30">
        <v>33</v>
      </c>
      <c r="C181" s="8">
        <v>713</v>
      </c>
      <c r="D181" s="8">
        <v>787</v>
      </c>
      <c r="E181" s="8">
        <v>220</v>
      </c>
      <c r="F181" s="8">
        <f t="shared" si="45"/>
        <v>1720</v>
      </c>
      <c r="J181" s="8">
        <f t="shared" si="46"/>
        <v>0</v>
      </c>
      <c r="K181" s="8">
        <v>2</v>
      </c>
      <c r="L181" s="8">
        <v>4</v>
      </c>
      <c r="M181" s="8">
        <v>2</v>
      </c>
      <c r="N181" s="8">
        <f t="shared" si="47"/>
        <v>8</v>
      </c>
      <c r="O181" s="8">
        <v>23</v>
      </c>
      <c r="P181" s="8">
        <v>26</v>
      </c>
      <c r="Q181" s="8">
        <v>8</v>
      </c>
      <c r="R181" s="8">
        <f t="shared" si="48"/>
        <v>57</v>
      </c>
      <c r="S181" s="31">
        <v>1.5</v>
      </c>
      <c r="T181" s="30">
        <v>1</v>
      </c>
      <c r="U181" s="66">
        <f>IF(A181='Свод по районам'!$A$28,'Свод по районам'!$G$28,0)</f>
        <v>1.5375864844115965</v>
      </c>
      <c r="V181" s="30">
        <f t="shared" si="64"/>
        <v>4209.6000000000004</v>
      </c>
      <c r="W181" s="12">
        <f t="shared" si="62"/>
        <v>2637.3218374558305</v>
      </c>
      <c r="X181" s="11">
        <v>2094.4</v>
      </c>
      <c r="Y181" s="17">
        <f t="shared" si="49"/>
        <v>2115.2000000000003</v>
      </c>
      <c r="Z181" s="17">
        <f t="shared" si="50"/>
        <v>2115.2000000000003</v>
      </c>
      <c r="AA181" s="17">
        <f t="shared" si="51"/>
        <v>0</v>
      </c>
      <c r="AB181" s="20">
        <f t="shared" si="52"/>
        <v>542.92183745583043</v>
      </c>
      <c r="AC181" s="17">
        <f t="shared" si="53"/>
        <v>542.92183745583043</v>
      </c>
      <c r="AD181" s="17">
        <f t="shared" si="54"/>
        <v>0</v>
      </c>
      <c r="AE181" s="29">
        <v>59.1</v>
      </c>
      <c r="AF181" s="28">
        <f t="shared" si="55"/>
        <v>71228.426395939096</v>
      </c>
      <c r="AG181" s="28">
        <f t="shared" si="63"/>
        <v>44624.734982332157</v>
      </c>
      <c r="AH181" s="28">
        <f t="shared" si="56"/>
        <v>35438.240270727583</v>
      </c>
      <c r="AI181" s="42">
        <f t="shared" si="57"/>
        <v>35790.186125211512</v>
      </c>
      <c r="AJ181" s="44">
        <f t="shared" si="65"/>
        <v>94.333333333333329</v>
      </c>
      <c r="AK181" s="45">
        <f t="shared" si="58"/>
        <v>44624.734982332164</v>
      </c>
      <c r="AL181" s="45">
        <f t="shared" si="59"/>
        <v>22202.120141342755</v>
      </c>
      <c r="AM181" s="45">
        <f t="shared" si="60"/>
        <v>22422.614840989409</v>
      </c>
      <c r="AN181" s="23">
        <f t="shared" si="61"/>
        <v>1.596164692611393</v>
      </c>
      <c r="AP181" s="20" t="e">
        <f>IF(AH181/S181&lt;#REF!,AH181,0)</f>
        <v>#REF!</v>
      </c>
      <c r="AQ181" s="11" t="e">
        <f>IF(AP181&gt;0,(#REF!*S181-AP181)*AE181/1000*1.302*4,0)</f>
        <v>#REF!</v>
      </c>
    </row>
    <row r="182" spans="1:43" x14ac:dyDescent="0.25">
      <c r="A182" s="8" t="s">
        <v>276</v>
      </c>
      <c r="B182" s="30">
        <v>37</v>
      </c>
      <c r="C182" s="8">
        <v>669</v>
      </c>
      <c r="D182" s="8">
        <v>685</v>
      </c>
      <c r="E182" s="8">
        <v>155</v>
      </c>
      <c r="F182" s="8">
        <f t="shared" si="45"/>
        <v>1509</v>
      </c>
      <c r="J182" s="8">
        <f t="shared" si="46"/>
        <v>0</v>
      </c>
      <c r="K182" s="8">
        <v>10</v>
      </c>
      <c r="L182" s="8">
        <v>7</v>
      </c>
      <c r="M182" s="8">
        <v>0</v>
      </c>
      <c r="N182" s="8">
        <f t="shared" si="47"/>
        <v>17</v>
      </c>
      <c r="O182" s="8">
        <v>22</v>
      </c>
      <c r="P182" s="8">
        <v>23</v>
      </c>
      <c r="Q182" s="8">
        <v>6</v>
      </c>
      <c r="R182" s="8">
        <f t="shared" si="48"/>
        <v>51</v>
      </c>
      <c r="S182" s="31">
        <v>1.5</v>
      </c>
      <c r="T182" s="30">
        <v>1</v>
      </c>
      <c r="U182" s="66">
        <f>IF(A182='Свод по районам'!$A$28,'Свод по районам'!$G$28,0)</f>
        <v>1.5375864844115965</v>
      </c>
      <c r="V182" s="30">
        <f t="shared" si="64"/>
        <v>3603.4</v>
      </c>
      <c r="W182" s="12">
        <f t="shared" si="62"/>
        <v>2092.9928143712573</v>
      </c>
      <c r="X182" s="11">
        <v>1761.2</v>
      </c>
      <c r="Y182" s="17">
        <f t="shared" si="49"/>
        <v>1842.2</v>
      </c>
      <c r="Z182" s="17">
        <f t="shared" si="50"/>
        <v>1842.2</v>
      </c>
      <c r="AA182" s="17">
        <f t="shared" si="51"/>
        <v>0</v>
      </c>
      <c r="AB182" s="20">
        <f t="shared" si="52"/>
        <v>331.79281437125724</v>
      </c>
      <c r="AC182" s="17">
        <f t="shared" si="53"/>
        <v>331.79281437125724</v>
      </c>
      <c r="AD182" s="17">
        <f t="shared" si="54"/>
        <v>0</v>
      </c>
      <c r="AE182" s="29">
        <v>48.5</v>
      </c>
      <c r="AF182" s="28">
        <f t="shared" si="55"/>
        <v>74296.907216494845</v>
      </c>
      <c r="AG182" s="28">
        <f t="shared" si="63"/>
        <v>43154.491017964072</v>
      </c>
      <c r="AH182" s="28">
        <f t="shared" si="56"/>
        <v>36313.402061855668</v>
      </c>
      <c r="AI182" s="42">
        <f t="shared" si="57"/>
        <v>37983.505154639177</v>
      </c>
      <c r="AJ182" s="44">
        <f t="shared" si="65"/>
        <v>83.5</v>
      </c>
      <c r="AK182" s="45">
        <f t="shared" si="58"/>
        <v>43154.491017964072</v>
      </c>
      <c r="AL182" s="45">
        <f t="shared" si="59"/>
        <v>21092.215568862277</v>
      </c>
      <c r="AM182" s="45">
        <f t="shared" si="60"/>
        <v>22062.275449101795</v>
      </c>
      <c r="AN182" s="23">
        <f t="shared" si="61"/>
        <v>1.7216494845360826</v>
      </c>
      <c r="AP182" s="20" t="e">
        <f>IF(AH182/S182&lt;#REF!,AH182,0)</f>
        <v>#REF!</v>
      </c>
      <c r="AQ182" s="11" t="e">
        <f>IF(AP182&gt;0,(#REF!*S182-AP182)*AE182/1000*1.302*4,0)</f>
        <v>#REF!</v>
      </c>
    </row>
    <row r="183" spans="1:43" x14ac:dyDescent="0.25">
      <c r="A183" s="8" t="s">
        <v>276</v>
      </c>
      <c r="B183" s="30">
        <v>7</v>
      </c>
      <c r="C183" s="8">
        <v>683</v>
      </c>
      <c r="D183" s="8">
        <v>735</v>
      </c>
      <c r="E183" s="8">
        <v>82</v>
      </c>
      <c r="F183" s="8">
        <f t="shared" si="45"/>
        <v>1500</v>
      </c>
      <c r="J183" s="8">
        <f t="shared" si="46"/>
        <v>0</v>
      </c>
      <c r="K183" s="8">
        <v>3</v>
      </c>
      <c r="L183" s="8">
        <v>3</v>
      </c>
      <c r="M183" s="8">
        <v>0</v>
      </c>
      <c r="N183" s="8">
        <f t="shared" si="47"/>
        <v>6</v>
      </c>
      <c r="O183" s="8">
        <v>21</v>
      </c>
      <c r="P183" s="8">
        <v>23</v>
      </c>
      <c r="Q183" s="8">
        <v>3</v>
      </c>
      <c r="R183" s="8">
        <f t="shared" si="48"/>
        <v>47</v>
      </c>
      <c r="S183" s="31">
        <v>1.5</v>
      </c>
      <c r="T183" s="30">
        <v>1</v>
      </c>
      <c r="U183" s="66">
        <f>IF(A183='Свод по районам'!$A$28,'Свод по районам'!$G$28,0)</f>
        <v>1.5375864844115965</v>
      </c>
      <c r="V183" s="30">
        <f t="shared" si="64"/>
        <v>3456.5</v>
      </c>
      <c r="W183" s="12">
        <f t="shared" si="62"/>
        <v>2273.5752735229762</v>
      </c>
      <c r="X183" s="11">
        <v>1870.1999999999998</v>
      </c>
      <c r="Y183" s="17">
        <f t="shared" si="49"/>
        <v>1586.3000000000002</v>
      </c>
      <c r="Z183" s="17">
        <f t="shared" si="50"/>
        <v>1586.3000000000002</v>
      </c>
      <c r="AA183" s="17">
        <f t="shared" si="51"/>
        <v>0</v>
      </c>
      <c r="AB183" s="20">
        <f t="shared" si="52"/>
        <v>403.37527352297639</v>
      </c>
      <c r="AC183" s="17">
        <f t="shared" si="53"/>
        <v>403.37527352297639</v>
      </c>
      <c r="AD183" s="17">
        <f t="shared" si="54"/>
        <v>0</v>
      </c>
      <c r="AE183" s="29">
        <v>50.1</v>
      </c>
      <c r="AF183" s="28">
        <f t="shared" si="55"/>
        <v>68992.015968063861</v>
      </c>
      <c r="AG183" s="28">
        <f t="shared" si="63"/>
        <v>45380.74398249454</v>
      </c>
      <c r="AH183" s="28">
        <f t="shared" si="56"/>
        <v>37329.341317365259</v>
      </c>
      <c r="AI183" s="42">
        <f t="shared" si="57"/>
        <v>31662.674650698602</v>
      </c>
      <c r="AJ183" s="44">
        <f t="shared" si="65"/>
        <v>76.166666666666657</v>
      </c>
      <c r="AK183" s="45">
        <f t="shared" si="58"/>
        <v>45380.74398249454</v>
      </c>
      <c r="AL183" s="45">
        <f t="shared" si="59"/>
        <v>24554.048140043764</v>
      </c>
      <c r="AM183" s="45">
        <f t="shared" si="60"/>
        <v>20826.695842450776</v>
      </c>
      <c r="AN183" s="23">
        <f t="shared" si="61"/>
        <v>1.5202927478376578</v>
      </c>
      <c r="AP183" s="20" t="e">
        <f>IF(AH183/S183&lt;#REF!,AH183,0)</f>
        <v>#REF!</v>
      </c>
      <c r="AQ183" s="11" t="e">
        <f>IF(AP183&gt;0,(#REF!*S183-AP183)*AE183/1000*1.302*4,0)</f>
        <v>#REF!</v>
      </c>
    </row>
    <row r="184" spans="1:43" x14ac:dyDescent="0.25">
      <c r="A184" s="8" t="s">
        <v>276</v>
      </c>
      <c r="B184" s="30">
        <v>3</v>
      </c>
      <c r="C184" s="8">
        <v>709</v>
      </c>
      <c r="D184" s="8">
        <v>635</v>
      </c>
      <c r="E184" s="8">
        <v>154</v>
      </c>
      <c r="F184" s="8">
        <f t="shared" si="45"/>
        <v>1498</v>
      </c>
      <c r="J184" s="8">
        <f t="shared" si="46"/>
        <v>0</v>
      </c>
      <c r="K184" s="8">
        <v>1</v>
      </c>
      <c r="L184" s="8">
        <v>8</v>
      </c>
      <c r="M184" s="8">
        <v>2</v>
      </c>
      <c r="N184" s="8">
        <f t="shared" si="47"/>
        <v>11</v>
      </c>
      <c r="O184" s="8">
        <v>22</v>
      </c>
      <c r="P184" s="8">
        <v>22</v>
      </c>
      <c r="Q184" s="8">
        <v>6</v>
      </c>
      <c r="R184" s="8">
        <f t="shared" si="48"/>
        <v>50</v>
      </c>
      <c r="S184" s="31">
        <v>1.5</v>
      </c>
      <c r="T184" s="30">
        <v>1</v>
      </c>
      <c r="U184" s="66">
        <f>IF(A184='Свод по районам'!$A$28,'Свод по районам'!$G$28,0)</f>
        <v>1.5375864844115965</v>
      </c>
      <c r="V184" s="30">
        <f t="shared" si="64"/>
        <v>3537.6</v>
      </c>
      <c r="W184" s="12">
        <f t="shared" si="62"/>
        <v>3309.460897959184</v>
      </c>
      <c r="X184" s="11">
        <v>1939.2999999999997</v>
      </c>
      <c r="Y184" s="17">
        <f t="shared" si="49"/>
        <v>1598.3000000000002</v>
      </c>
      <c r="Z184" s="17">
        <f t="shared" si="50"/>
        <v>1598.3000000000002</v>
      </c>
      <c r="AA184" s="17">
        <f t="shared" si="51"/>
        <v>0</v>
      </c>
      <c r="AB184" s="20">
        <f t="shared" si="52"/>
        <v>1370.1608979591842</v>
      </c>
      <c r="AC184" s="17">
        <f t="shared" si="53"/>
        <v>1370.1608979591842</v>
      </c>
      <c r="AD184" s="17">
        <f t="shared" si="54"/>
        <v>0</v>
      </c>
      <c r="AE184" s="29">
        <v>76.400000000000006</v>
      </c>
      <c r="AF184" s="28">
        <f t="shared" si="55"/>
        <v>46303.664921465963</v>
      </c>
      <c r="AG184" s="28">
        <f t="shared" si="63"/>
        <v>43317.551020408158</v>
      </c>
      <c r="AH184" s="28">
        <f t="shared" si="56"/>
        <v>25383.507853403135</v>
      </c>
      <c r="AI184" s="42">
        <f t="shared" si="57"/>
        <v>20920.157068062828</v>
      </c>
      <c r="AJ184" s="44">
        <f t="shared" si="65"/>
        <v>81.666666666666657</v>
      </c>
      <c r="AK184" s="45">
        <f t="shared" si="58"/>
        <v>43317.551020408166</v>
      </c>
      <c r="AL184" s="45">
        <f t="shared" si="59"/>
        <v>23746.530612244896</v>
      </c>
      <c r="AM184" s="45">
        <f t="shared" si="60"/>
        <v>19571.020408163269</v>
      </c>
      <c r="AN184" s="23">
        <f t="shared" si="61"/>
        <v>1.0689354275741709</v>
      </c>
      <c r="AP184" s="20" t="e">
        <f>IF(AH184/S184&lt;#REF!,AH184,0)</f>
        <v>#REF!</v>
      </c>
      <c r="AQ184" s="11" t="e">
        <f>IF(AP184&gt;0,(#REF!*S184-AP184)*AE184/1000*1.302*4,0)</f>
        <v>#REF!</v>
      </c>
    </row>
    <row r="185" spans="1:43" x14ac:dyDescent="0.25">
      <c r="A185" s="8" t="s">
        <v>276</v>
      </c>
      <c r="B185" s="30">
        <v>65</v>
      </c>
      <c r="C185" s="8">
        <v>658</v>
      </c>
      <c r="D185" s="8">
        <v>642</v>
      </c>
      <c r="E185" s="8">
        <v>96</v>
      </c>
      <c r="F185" s="8">
        <f t="shared" si="45"/>
        <v>1396</v>
      </c>
      <c r="J185" s="8">
        <f t="shared" si="46"/>
        <v>0</v>
      </c>
      <c r="K185" s="8">
        <v>7</v>
      </c>
      <c r="L185" s="8">
        <v>6</v>
      </c>
      <c r="M185" s="8">
        <v>0</v>
      </c>
      <c r="N185" s="8">
        <f t="shared" si="47"/>
        <v>13</v>
      </c>
      <c r="O185" s="8">
        <v>21</v>
      </c>
      <c r="P185" s="8">
        <v>22</v>
      </c>
      <c r="Q185" s="8">
        <v>4</v>
      </c>
      <c r="R185" s="8">
        <f t="shared" si="48"/>
        <v>47</v>
      </c>
      <c r="S185" s="31">
        <v>1.5</v>
      </c>
      <c r="T185" s="30">
        <v>1</v>
      </c>
      <c r="U185" s="66">
        <f>IF(A185='Свод по районам'!$A$28,'Свод по районам'!$G$28,0)</f>
        <v>1.5375864844115965</v>
      </c>
      <c r="V185" s="30">
        <f t="shared" si="64"/>
        <v>3229.5</v>
      </c>
      <c r="W185" s="12">
        <f t="shared" si="62"/>
        <v>1844.622707423581</v>
      </c>
      <c r="X185" s="11">
        <v>1724.4999999999998</v>
      </c>
      <c r="Y185" s="17">
        <f t="shared" si="49"/>
        <v>1505.0000000000002</v>
      </c>
      <c r="Z185" s="17">
        <f t="shared" si="50"/>
        <v>1505.0000000000002</v>
      </c>
      <c r="AA185" s="17">
        <f t="shared" si="51"/>
        <v>0</v>
      </c>
      <c r="AB185" s="20">
        <f t="shared" si="52"/>
        <v>120.12270742358123</v>
      </c>
      <c r="AC185" s="17">
        <f t="shared" si="53"/>
        <v>120.12270742358123</v>
      </c>
      <c r="AD185" s="17">
        <f t="shared" si="54"/>
        <v>0</v>
      </c>
      <c r="AE185" s="29">
        <v>43.6</v>
      </c>
      <c r="AF185" s="28">
        <f t="shared" si="55"/>
        <v>74071.100917431191</v>
      </c>
      <c r="AG185" s="28">
        <f t="shared" si="63"/>
        <v>42307.86026200874</v>
      </c>
      <c r="AH185" s="28">
        <f t="shared" si="56"/>
        <v>39552.752293577971</v>
      </c>
      <c r="AI185" s="42">
        <f t="shared" si="57"/>
        <v>34518.34862385322</v>
      </c>
      <c r="AJ185" s="44">
        <f t="shared" si="65"/>
        <v>76.333333333333329</v>
      </c>
      <c r="AK185" s="45">
        <f t="shared" si="58"/>
        <v>42307.86026200874</v>
      </c>
      <c r="AL185" s="45">
        <f t="shared" si="59"/>
        <v>22591.703056768558</v>
      </c>
      <c r="AM185" s="45">
        <f t="shared" si="60"/>
        <v>19716.157205240183</v>
      </c>
      <c r="AN185" s="23">
        <f t="shared" si="61"/>
        <v>1.7507645259938835</v>
      </c>
      <c r="AP185" s="20" t="e">
        <f>IF(AH185/S185&lt;#REF!,AH185,0)</f>
        <v>#REF!</v>
      </c>
      <c r="AQ185" s="11" t="e">
        <f>IF(AP185&gt;0,(#REF!*S185-AP185)*AE185/1000*1.302*4,0)</f>
        <v>#REF!</v>
      </c>
    </row>
    <row r="186" spans="1:43" x14ac:dyDescent="0.25">
      <c r="A186" s="8" t="s">
        <v>276</v>
      </c>
      <c r="B186" s="30">
        <v>26</v>
      </c>
      <c r="C186" s="8">
        <v>603</v>
      </c>
      <c r="D186" s="8">
        <v>639</v>
      </c>
      <c r="E186" s="8">
        <v>153</v>
      </c>
      <c r="F186" s="8">
        <f t="shared" si="45"/>
        <v>1395</v>
      </c>
      <c r="J186" s="8">
        <f t="shared" si="46"/>
        <v>0</v>
      </c>
      <c r="K186" s="8">
        <v>4</v>
      </c>
      <c r="L186" s="8">
        <v>4</v>
      </c>
      <c r="M186" s="8">
        <v>1</v>
      </c>
      <c r="N186" s="8">
        <f t="shared" si="47"/>
        <v>9</v>
      </c>
      <c r="O186" s="8">
        <v>20</v>
      </c>
      <c r="P186" s="8">
        <v>22</v>
      </c>
      <c r="Q186" s="8">
        <v>6</v>
      </c>
      <c r="R186" s="8">
        <f t="shared" si="48"/>
        <v>48</v>
      </c>
      <c r="S186" s="31">
        <v>1.5</v>
      </c>
      <c r="T186" s="30">
        <v>1</v>
      </c>
      <c r="U186" s="66">
        <f>IF(A186='Свод по районам'!$A$28,'Свод по районам'!$G$28,0)</f>
        <v>1.5375864844115965</v>
      </c>
      <c r="V186" s="30">
        <f t="shared" si="64"/>
        <v>3356.4</v>
      </c>
      <c r="W186" s="12">
        <f t="shared" si="62"/>
        <v>2340.9827848101268</v>
      </c>
      <c r="X186" s="11">
        <v>1677.4</v>
      </c>
      <c r="Y186" s="17">
        <f t="shared" si="49"/>
        <v>1679</v>
      </c>
      <c r="Z186" s="17">
        <f t="shared" si="50"/>
        <v>1679</v>
      </c>
      <c r="AA186" s="17">
        <f t="shared" si="51"/>
        <v>0</v>
      </c>
      <c r="AB186" s="20">
        <f t="shared" si="52"/>
        <v>663.58278481012667</v>
      </c>
      <c r="AC186" s="17">
        <f t="shared" si="53"/>
        <v>663.58278481012667</v>
      </c>
      <c r="AD186" s="17">
        <f t="shared" si="54"/>
        <v>0</v>
      </c>
      <c r="AE186" s="29">
        <v>55.1</v>
      </c>
      <c r="AF186" s="28">
        <f t="shared" si="55"/>
        <v>60914.700544464606</v>
      </c>
      <c r="AG186" s="28">
        <f t="shared" si="63"/>
        <v>42486.075949367092</v>
      </c>
      <c r="AH186" s="28">
        <f t="shared" si="56"/>
        <v>30442.83121597096</v>
      </c>
      <c r="AI186" s="42">
        <f t="shared" si="57"/>
        <v>30471.869328493645</v>
      </c>
      <c r="AJ186" s="44">
        <f t="shared" si="65"/>
        <v>79</v>
      </c>
      <c r="AK186" s="45">
        <f t="shared" si="58"/>
        <v>42486.075949367092</v>
      </c>
      <c r="AL186" s="45">
        <f t="shared" si="59"/>
        <v>21232.911392405065</v>
      </c>
      <c r="AM186" s="45">
        <f t="shared" si="60"/>
        <v>21253.164556962027</v>
      </c>
      <c r="AN186" s="23">
        <f t="shared" si="61"/>
        <v>1.4337568058076224</v>
      </c>
      <c r="AP186" s="20" t="e">
        <f>IF(AH186/S186&lt;#REF!,AH186,0)</f>
        <v>#REF!</v>
      </c>
      <c r="AQ186" s="11" t="e">
        <f>IF(AP186&gt;0,(#REF!*S186-AP186)*AE186/1000*1.302*4,0)</f>
        <v>#REF!</v>
      </c>
    </row>
    <row r="187" spans="1:43" x14ac:dyDescent="0.25">
      <c r="A187" s="8" t="s">
        <v>276</v>
      </c>
      <c r="B187" s="30">
        <v>44</v>
      </c>
      <c r="C187" s="8">
        <v>641</v>
      </c>
      <c r="D187" s="8">
        <v>618</v>
      </c>
      <c r="E187" s="8">
        <v>43</v>
      </c>
      <c r="F187" s="8">
        <f t="shared" si="45"/>
        <v>1302</v>
      </c>
      <c r="J187" s="8">
        <f t="shared" si="46"/>
        <v>0</v>
      </c>
      <c r="K187" s="8">
        <v>6</v>
      </c>
      <c r="L187" s="8">
        <v>0</v>
      </c>
      <c r="M187" s="8">
        <v>0</v>
      </c>
      <c r="N187" s="8">
        <f t="shared" si="47"/>
        <v>6</v>
      </c>
      <c r="O187" s="8">
        <v>20</v>
      </c>
      <c r="P187" s="8">
        <v>22</v>
      </c>
      <c r="Q187" s="8">
        <v>2</v>
      </c>
      <c r="R187" s="8">
        <f t="shared" si="48"/>
        <v>44</v>
      </c>
      <c r="S187" s="31">
        <v>1.5</v>
      </c>
      <c r="T187" s="30">
        <v>1</v>
      </c>
      <c r="U187" s="66">
        <f>IF(A187='Свод по районам'!$A$28,'Свод по районам'!$G$28,0)</f>
        <v>1.5375864844115965</v>
      </c>
      <c r="V187" s="30">
        <f t="shared" si="64"/>
        <v>2917.3</v>
      </c>
      <c r="W187" s="12">
        <f t="shared" si="62"/>
        <v>1931.1704225352114</v>
      </c>
      <c r="X187" s="11">
        <v>1579.6999999999998</v>
      </c>
      <c r="Y187" s="17">
        <f t="shared" si="49"/>
        <v>1337.6000000000004</v>
      </c>
      <c r="Z187" s="17">
        <f t="shared" si="50"/>
        <v>1337.6000000000004</v>
      </c>
      <c r="AA187" s="17">
        <f t="shared" si="51"/>
        <v>0</v>
      </c>
      <c r="AB187" s="20">
        <f t="shared" si="52"/>
        <v>351.47042253521158</v>
      </c>
      <c r="AC187" s="17">
        <f t="shared" si="53"/>
        <v>351.47042253521158</v>
      </c>
      <c r="AD187" s="17">
        <f t="shared" si="54"/>
        <v>0</v>
      </c>
      <c r="AE187" s="29">
        <v>47</v>
      </c>
      <c r="AF187" s="28">
        <f t="shared" si="55"/>
        <v>62070.212765957447</v>
      </c>
      <c r="AG187" s="28">
        <f t="shared" si="63"/>
        <v>41088.732394366198</v>
      </c>
      <c r="AH187" s="28">
        <f t="shared" si="56"/>
        <v>33610.638297872334</v>
      </c>
      <c r="AI187" s="42">
        <f t="shared" si="57"/>
        <v>28459.574468085113</v>
      </c>
      <c r="AJ187" s="44">
        <f t="shared" si="65"/>
        <v>71</v>
      </c>
      <c r="AK187" s="45">
        <f t="shared" si="58"/>
        <v>41088.732394366198</v>
      </c>
      <c r="AL187" s="45">
        <f t="shared" si="59"/>
        <v>22249.295774647882</v>
      </c>
      <c r="AM187" s="45">
        <f t="shared" si="60"/>
        <v>18839.436619718315</v>
      </c>
      <c r="AN187" s="23">
        <f t="shared" si="61"/>
        <v>1.5106382978723405</v>
      </c>
      <c r="AP187" s="20" t="e">
        <f>IF(AH187/S187&lt;#REF!,AH187,0)</f>
        <v>#REF!</v>
      </c>
      <c r="AQ187" s="11" t="e">
        <f>IF(AP187&gt;0,(#REF!*S187-AP187)*AE187/1000*1.302*4,0)</f>
        <v>#REF!</v>
      </c>
    </row>
    <row r="188" spans="1:43" x14ac:dyDescent="0.25">
      <c r="A188" s="8" t="s">
        <v>276</v>
      </c>
      <c r="B188" s="30">
        <v>57</v>
      </c>
      <c r="C188" s="8">
        <v>654</v>
      </c>
      <c r="D188" s="8">
        <v>523</v>
      </c>
      <c r="E188" s="8">
        <v>92</v>
      </c>
      <c r="F188" s="8">
        <f t="shared" si="45"/>
        <v>1269</v>
      </c>
      <c r="J188" s="8">
        <f t="shared" si="46"/>
        <v>0</v>
      </c>
      <c r="K188" s="8">
        <v>11</v>
      </c>
      <c r="L188" s="8">
        <v>20</v>
      </c>
      <c r="M188" s="8">
        <v>2</v>
      </c>
      <c r="N188" s="8">
        <f t="shared" si="47"/>
        <v>33</v>
      </c>
      <c r="O188" s="8">
        <v>21</v>
      </c>
      <c r="P188" s="8">
        <v>16</v>
      </c>
      <c r="Q188" s="8">
        <v>3</v>
      </c>
      <c r="R188" s="8">
        <f t="shared" si="48"/>
        <v>40</v>
      </c>
      <c r="S188" s="31">
        <v>1.5</v>
      </c>
      <c r="T188" s="30">
        <v>1</v>
      </c>
      <c r="U188" s="66">
        <f>IF(A188='Свод по районам'!$A$28,'Свод по районам'!$G$28,0)</f>
        <v>1.5375864844115965</v>
      </c>
      <c r="V188" s="30">
        <f t="shared" si="64"/>
        <v>2905.2</v>
      </c>
      <c r="W188" s="12">
        <f t="shared" si="62"/>
        <v>1981.6522105263159</v>
      </c>
      <c r="X188" s="11">
        <v>1473.8</v>
      </c>
      <c r="Y188" s="17">
        <f t="shared" si="49"/>
        <v>1431.3999999999999</v>
      </c>
      <c r="Z188" s="17">
        <f t="shared" si="50"/>
        <v>1431.3999999999999</v>
      </c>
      <c r="AA188" s="17">
        <f t="shared" si="51"/>
        <v>0</v>
      </c>
      <c r="AB188" s="20">
        <f t="shared" si="52"/>
        <v>507.85221052631596</v>
      </c>
      <c r="AC188" s="17">
        <f t="shared" si="53"/>
        <v>507.85221052631596</v>
      </c>
      <c r="AD188" s="17">
        <f t="shared" si="54"/>
        <v>0</v>
      </c>
      <c r="AE188" s="29">
        <v>43.2</v>
      </c>
      <c r="AF188" s="28">
        <f t="shared" si="55"/>
        <v>67249.999999999985</v>
      </c>
      <c r="AG188" s="28">
        <f t="shared" si="63"/>
        <v>45871.57894736842</v>
      </c>
      <c r="AH188" s="28">
        <f t="shared" si="56"/>
        <v>34115.740740740737</v>
      </c>
      <c r="AI188" s="42">
        <f t="shared" si="57"/>
        <v>33134.259259259248</v>
      </c>
      <c r="AJ188" s="44">
        <f t="shared" si="65"/>
        <v>63.333333333333329</v>
      </c>
      <c r="AK188" s="45">
        <f t="shared" si="58"/>
        <v>45871.57894736842</v>
      </c>
      <c r="AL188" s="45">
        <f t="shared" si="59"/>
        <v>23270.526315789473</v>
      </c>
      <c r="AM188" s="45">
        <f t="shared" si="60"/>
        <v>22601.052631578947</v>
      </c>
      <c r="AN188" s="23">
        <f t="shared" si="61"/>
        <v>1.4660493827160492</v>
      </c>
      <c r="AP188" s="20" t="e">
        <f>IF(AH188/S188&lt;#REF!,AH188,0)</f>
        <v>#REF!</v>
      </c>
      <c r="AQ188" s="11" t="e">
        <f>IF(AP188&gt;0,(#REF!*S188-AP188)*AE188/1000*1.302*4,0)</f>
        <v>#REF!</v>
      </c>
    </row>
    <row r="189" spans="1:43" x14ac:dyDescent="0.25">
      <c r="A189" s="8" t="s">
        <v>276</v>
      </c>
      <c r="B189" s="30">
        <v>27</v>
      </c>
      <c r="C189" s="8">
        <v>519</v>
      </c>
      <c r="D189" s="8">
        <v>569</v>
      </c>
      <c r="E189" s="8">
        <v>162</v>
      </c>
      <c r="F189" s="8">
        <f t="shared" si="45"/>
        <v>1250</v>
      </c>
      <c r="J189" s="8">
        <f t="shared" si="46"/>
        <v>0</v>
      </c>
      <c r="K189" s="8">
        <v>1</v>
      </c>
      <c r="L189" s="8">
        <v>2</v>
      </c>
      <c r="M189" s="8">
        <v>0</v>
      </c>
      <c r="N189" s="8">
        <f t="shared" si="47"/>
        <v>3</v>
      </c>
      <c r="O189" s="8">
        <v>17</v>
      </c>
      <c r="P189" s="8">
        <v>20</v>
      </c>
      <c r="Q189" s="8">
        <v>6</v>
      </c>
      <c r="R189" s="8">
        <f t="shared" si="48"/>
        <v>43</v>
      </c>
      <c r="S189" s="31">
        <v>1.5</v>
      </c>
      <c r="T189" s="30">
        <v>1</v>
      </c>
      <c r="U189" s="66">
        <f>IF(A189='Свод по районам'!$A$28,'Свод по районам'!$G$28,0)</f>
        <v>1.5375864844115965</v>
      </c>
      <c r="V189" s="30">
        <f t="shared" si="64"/>
        <v>3059.9</v>
      </c>
      <c r="W189" s="12">
        <f t="shared" si="62"/>
        <v>2101.8939252336449</v>
      </c>
      <c r="X189" s="11">
        <v>1447.1</v>
      </c>
      <c r="Y189" s="17">
        <f t="shared" si="49"/>
        <v>1612.8000000000002</v>
      </c>
      <c r="Z189" s="17">
        <f t="shared" si="50"/>
        <v>1612.8000000000002</v>
      </c>
      <c r="AA189" s="17">
        <f t="shared" si="51"/>
        <v>0</v>
      </c>
      <c r="AB189" s="20">
        <f t="shared" si="52"/>
        <v>654.79392523364504</v>
      </c>
      <c r="AC189" s="17">
        <f t="shared" si="53"/>
        <v>654.79392523364504</v>
      </c>
      <c r="AD189" s="17">
        <f t="shared" si="54"/>
        <v>0</v>
      </c>
      <c r="AE189" s="29">
        <v>49</v>
      </c>
      <c r="AF189" s="28">
        <f t="shared" si="55"/>
        <v>62446.938775510207</v>
      </c>
      <c r="AG189" s="28">
        <f t="shared" si="63"/>
        <v>42895.794392523363</v>
      </c>
      <c r="AH189" s="28">
        <f t="shared" si="56"/>
        <v>29532.653061224486</v>
      </c>
      <c r="AI189" s="42">
        <f t="shared" si="57"/>
        <v>32914.285714285725</v>
      </c>
      <c r="AJ189" s="44">
        <f t="shared" si="65"/>
        <v>71.333333333333329</v>
      </c>
      <c r="AK189" s="45">
        <f t="shared" si="58"/>
        <v>42895.79439252337</v>
      </c>
      <c r="AL189" s="45">
        <f t="shared" si="59"/>
        <v>20286.448598130843</v>
      </c>
      <c r="AM189" s="45">
        <f t="shared" si="60"/>
        <v>22609.345794392528</v>
      </c>
      <c r="AN189" s="23">
        <f t="shared" si="61"/>
        <v>1.4557823129251699</v>
      </c>
      <c r="AP189" s="20" t="e">
        <f>IF(AH189/S189&lt;#REF!,AH189,0)</f>
        <v>#REF!</v>
      </c>
      <c r="AQ189" s="11" t="e">
        <f>IF(AP189&gt;0,(#REF!*S189-AP189)*AE189/1000*1.302*4,0)</f>
        <v>#REF!</v>
      </c>
    </row>
    <row r="190" spans="1:43" x14ac:dyDescent="0.25">
      <c r="A190" s="8" t="s">
        <v>276</v>
      </c>
      <c r="B190" s="30">
        <v>46</v>
      </c>
      <c r="C190" s="8">
        <v>514</v>
      </c>
      <c r="D190" s="8">
        <v>633</v>
      </c>
      <c r="E190" s="8">
        <v>75</v>
      </c>
      <c r="F190" s="8">
        <f t="shared" si="45"/>
        <v>1222</v>
      </c>
      <c r="J190" s="8">
        <f t="shared" si="46"/>
        <v>0</v>
      </c>
      <c r="K190" s="8">
        <v>3</v>
      </c>
      <c r="L190" s="8">
        <v>4</v>
      </c>
      <c r="M190" s="8">
        <v>0</v>
      </c>
      <c r="N190" s="8">
        <f t="shared" si="47"/>
        <v>7</v>
      </c>
      <c r="O190" s="8">
        <v>17</v>
      </c>
      <c r="P190" s="8">
        <v>22</v>
      </c>
      <c r="Q190" s="8">
        <v>2</v>
      </c>
      <c r="R190" s="8">
        <f t="shared" si="48"/>
        <v>41</v>
      </c>
      <c r="S190" s="31">
        <v>1.5</v>
      </c>
      <c r="T190" s="30">
        <v>1</v>
      </c>
      <c r="U190" s="66">
        <f>IF(A190='Свод по районам'!$A$28,'Свод по районам'!$G$28,0)</f>
        <v>1.5375864844115965</v>
      </c>
      <c r="V190" s="30">
        <f t="shared" si="64"/>
        <v>2865.6</v>
      </c>
      <c r="W190" s="12">
        <f t="shared" si="62"/>
        <v>2095.7373134328359</v>
      </c>
      <c r="X190" s="11">
        <v>1469.3000000000002</v>
      </c>
      <c r="Y190" s="17">
        <f t="shared" si="49"/>
        <v>1396.2999999999997</v>
      </c>
      <c r="Z190" s="17">
        <f t="shared" si="50"/>
        <v>1396.2999999999997</v>
      </c>
      <c r="AA190" s="17">
        <f t="shared" si="51"/>
        <v>0</v>
      </c>
      <c r="AB190" s="20">
        <f t="shared" si="52"/>
        <v>626.43731343283571</v>
      </c>
      <c r="AC190" s="17">
        <f t="shared" si="53"/>
        <v>626.43731343283571</v>
      </c>
      <c r="AD190" s="17">
        <f t="shared" si="54"/>
        <v>0</v>
      </c>
      <c r="AE190" s="29">
        <v>49</v>
      </c>
      <c r="AF190" s="28">
        <f t="shared" si="55"/>
        <v>58481.632653061228</v>
      </c>
      <c r="AG190" s="28">
        <f t="shared" si="63"/>
        <v>42770.149253731346</v>
      </c>
      <c r="AH190" s="28">
        <f t="shared" si="56"/>
        <v>29985.71428571429</v>
      </c>
      <c r="AI190" s="42">
        <f t="shared" si="57"/>
        <v>28495.918367346938</v>
      </c>
      <c r="AJ190" s="44">
        <f t="shared" si="65"/>
        <v>67</v>
      </c>
      <c r="AK190" s="45">
        <f t="shared" si="58"/>
        <v>42770.149253731339</v>
      </c>
      <c r="AL190" s="45">
        <f t="shared" si="59"/>
        <v>21929.850746268661</v>
      </c>
      <c r="AM190" s="45">
        <f t="shared" si="60"/>
        <v>20840.298507462678</v>
      </c>
      <c r="AN190" s="23">
        <f t="shared" si="61"/>
        <v>1.3673469387755102</v>
      </c>
      <c r="AP190" s="20" t="e">
        <f>IF(AH190/S190&lt;#REF!,AH190,0)</f>
        <v>#REF!</v>
      </c>
      <c r="AQ190" s="11" t="e">
        <f>IF(AP190&gt;0,(#REF!*S190-AP190)*AE190/1000*1.302*4,0)</f>
        <v>#REF!</v>
      </c>
    </row>
    <row r="191" spans="1:43" x14ac:dyDescent="0.25">
      <c r="A191" s="8" t="s">
        <v>276</v>
      </c>
      <c r="B191" s="30">
        <v>5</v>
      </c>
      <c r="C191" s="8">
        <v>532</v>
      </c>
      <c r="D191" s="8">
        <v>488</v>
      </c>
      <c r="E191" s="8">
        <v>77</v>
      </c>
      <c r="F191" s="8">
        <f t="shared" si="45"/>
        <v>1097</v>
      </c>
      <c r="H191" s="8">
        <v>2</v>
      </c>
      <c r="J191" s="8">
        <f t="shared" si="46"/>
        <v>2</v>
      </c>
      <c r="K191" s="8">
        <v>6</v>
      </c>
      <c r="L191" s="8">
        <v>1</v>
      </c>
      <c r="M191" s="8">
        <v>1</v>
      </c>
      <c r="N191" s="8">
        <f t="shared" si="47"/>
        <v>8</v>
      </c>
      <c r="O191" s="8">
        <v>21</v>
      </c>
      <c r="P191" s="8">
        <v>17</v>
      </c>
      <c r="Q191" s="8">
        <v>3</v>
      </c>
      <c r="R191" s="8">
        <f t="shared" si="48"/>
        <v>41</v>
      </c>
      <c r="S191" s="31">
        <v>1.5</v>
      </c>
      <c r="T191" s="30">
        <v>1</v>
      </c>
      <c r="U191" s="66">
        <f>IF(A191='Свод по районам'!$A$28,'Свод по районам'!$G$28,0)</f>
        <v>1.5375864844115965</v>
      </c>
      <c r="V191" s="30">
        <f t="shared" si="64"/>
        <v>2546.3000000000002</v>
      </c>
      <c r="W191" s="12">
        <f t="shared" si="62"/>
        <v>1499.6535062761509</v>
      </c>
      <c r="X191" s="11">
        <v>1375.1999999999998</v>
      </c>
      <c r="Y191" s="17">
        <f t="shared" si="49"/>
        <v>1171.1000000000004</v>
      </c>
      <c r="Z191" s="17">
        <f t="shared" si="50"/>
        <v>1171.1000000000004</v>
      </c>
      <c r="AA191" s="17">
        <f t="shared" si="51"/>
        <v>0</v>
      </c>
      <c r="AB191" s="20">
        <f t="shared" si="52"/>
        <v>124.45350627615107</v>
      </c>
      <c r="AC191" s="17">
        <f t="shared" si="53"/>
        <v>124.45350627615107</v>
      </c>
      <c r="AD191" s="17">
        <f t="shared" si="54"/>
        <v>0</v>
      </c>
      <c r="AE191" s="29">
        <v>39.1</v>
      </c>
      <c r="AF191" s="28">
        <f t="shared" si="55"/>
        <v>65122.762148337599</v>
      </c>
      <c r="AG191" s="28">
        <f t="shared" si="63"/>
        <v>38354.309623430963</v>
      </c>
      <c r="AH191" s="28">
        <f t="shared" si="56"/>
        <v>35171.355498721219</v>
      </c>
      <c r="AI191" s="42">
        <f t="shared" si="57"/>
        <v>29951.40664961638</v>
      </c>
      <c r="AJ191" s="44">
        <f t="shared" si="65"/>
        <v>66.388888888888886</v>
      </c>
      <c r="AK191" s="45">
        <f t="shared" si="58"/>
        <v>38354.309623430963</v>
      </c>
      <c r="AL191" s="45">
        <f t="shared" si="59"/>
        <v>20714.30962343096</v>
      </c>
      <c r="AM191" s="45">
        <f t="shared" si="60"/>
        <v>17640.000000000004</v>
      </c>
      <c r="AN191" s="23">
        <f t="shared" si="61"/>
        <v>1.6979255470304062</v>
      </c>
      <c r="AP191" s="20" t="e">
        <f>IF(AH191/S191&lt;#REF!,AH191,0)</f>
        <v>#REF!</v>
      </c>
      <c r="AQ191" s="11" t="e">
        <f>IF(AP191&gt;0,(#REF!*S191-AP191)*AE191/1000*1.302*4,0)</f>
        <v>#REF!</v>
      </c>
    </row>
    <row r="192" spans="1:43" x14ac:dyDescent="0.25">
      <c r="A192" s="8" t="s">
        <v>276</v>
      </c>
      <c r="B192" s="30">
        <v>9</v>
      </c>
      <c r="C192" s="8">
        <v>423</v>
      </c>
      <c r="D192" s="8">
        <v>535</v>
      </c>
      <c r="E192" s="8">
        <v>109</v>
      </c>
      <c r="F192" s="8">
        <f t="shared" si="45"/>
        <v>1067</v>
      </c>
      <c r="J192" s="8">
        <f t="shared" si="46"/>
        <v>0</v>
      </c>
      <c r="K192" s="8">
        <v>4</v>
      </c>
      <c r="L192" s="8">
        <v>4</v>
      </c>
      <c r="M192" s="8">
        <v>0</v>
      </c>
      <c r="N192" s="8">
        <f t="shared" si="47"/>
        <v>8</v>
      </c>
      <c r="O192" s="8">
        <v>15</v>
      </c>
      <c r="P192" s="8">
        <v>18</v>
      </c>
      <c r="Q192" s="8">
        <v>4</v>
      </c>
      <c r="R192" s="8">
        <f t="shared" si="48"/>
        <v>37</v>
      </c>
      <c r="S192" s="31">
        <v>1.5</v>
      </c>
      <c r="T192" s="30">
        <v>1</v>
      </c>
      <c r="U192" s="66">
        <f>IF(A192='Свод по районам'!$A$28,'Свод по районам'!$G$28,0)</f>
        <v>1.5375864844115965</v>
      </c>
      <c r="V192" s="30">
        <f t="shared" si="64"/>
        <v>2588.6999999999998</v>
      </c>
      <c r="W192" s="12">
        <f t="shared" si="62"/>
        <v>1765.408524590164</v>
      </c>
      <c r="X192" s="11">
        <v>1392.2</v>
      </c>
      <c r="Y192" s="17">
        <f t="shared" si="49"/>
        <v>1196.4999999999998</v>
      </c>
      <c r="Z192" s="17">
        <f t="shared" si="50"/>
        <v>1196.4999999999998</v>
      </c>
      <c r="AA192" s="17">
        <f t="shared" si="51"/>
        <v>0</v>
      </c>
      <c r="AB192" s="20">
        <f t="shared" si="52"/>
        <v>373.20852459016396</v>
      </c>
      <c r="AC192" s="17">
        <f t="shared" si="53"/>
        <v>373.20852459016396</v>
      </c>
      <c r="AD192" s="17">
        <f t="shared" si="54"/>
        <v>0</v>
      </c>
      <c r="AE192" s="29">
        <v>41.6</v>
      </c>
      <c r="AF192" s="28">
        <f t="shared" si="55"/>
        <v>62228.365384615383</v>
      </c>
      <c r="AG192" s="28">
        <f t="shared" si="63"/>
        <v>42437.704918032789</v>
      </c>
      <c r="AH192" s="28">
        <f t="shared" si="56"/>
        <v>33466.346153846156</v>
      </c>
      <c r="AI192" s="42">
        <f t="shared" si="57"/>
        <v>28762.019230769227</v>
      </c>
      <c r="AJ192" s="44">
        <f t="shared" si="65"/>
        <v>61</v>
      </c>
      <c r="AK192" s="45">
        <f t="shared" si="58"/>
        <v>42437.704918032789</v>
      </c>
      <c r="AL192" s="45">
        <f t="shared" si="59"/>
        <v>22822.950819672133</v>
      </c>
      <c r="AM192" s="45">
        <f t="shared" si="60"/>
        <v>19614.754098360656</v>
      </c>
      <c r="AN192" s="23">
        <f t="shared" si="61"/>
        <v>1.4663461538461537</v>
      </c>
      <c r="AP192" s="20" t="e">
        <f>IF(AH192/S192&lt;#REF!,AH192,0)</f>
        <v>#REF!</v>
      </c>
      <c r="AQ192" s="11" t="e">
        <f>IF(AP192&gt;0,(#REF!*S192-AP192)*AE192/1000*1.302*4,0)</f>
        <v>#REF!</v>
      </c>
    </row>
    <row r="193" spans="1:43" x14ac:dyDescent="0.25">
      <c r="A193" s="8" t="s">
        <v>276</v>
      </c>
      <c r="B193" s="30">
        <v>29</v>
      </c>
      <c r="C193" s="8">
        <v>431</v>
      </c>
      <c r="D193" s="8">
        <v>502</v>
      </c>
      <c r="E193" s="8">
        <v>113</v>
      </c>
      <c r="F193" s="8">
        <f t="shared" si="45"/>
        <v>1046</v>
      </c>
      <c r="J193" s="8">
        <f t="shared" si="46"/>
        <v>0</v>
      </c>
      <c r="K193" s="8">
        <v>1</v>
      </c>
      <c r="L193" s="8">
        <v>3</v>
      </c>
      <c r="M193" s="8">
        <v>0</v>
      </c>
      <c r="N193" s="8">
        <f t="shared" si="47"/>
        <v>4</v>
      </c>
      <c r="O193" s="8">
        <v>13</v>
      </c>
      <c r="P193" s="8">
        <v>15</v>
      </c>
      <c r="Q193" s="8">
        <v>4</v>
      </c>
      <c r="R193" s="8">
        <f t="shared" si="48"/>
        <v>32</v>
      </c>
      <c r="S193" s="31">
        <v>1.5</v>
      </c>
      <c r="T193" s="30">
        <v>1</v>
      </c>
      <c r="U193" s="66">
        <f>IF(A193='Свод по районам'!$A$28,'Свод по районам'!$G$28,0)</f>
        <v>1.5375864844115965</v>
      </c>
      <c r="V193" s="30">
        <f t="shared" si="64"/>
        <v>2531.1</v>
      </c>
      <c r="W193" s="12">
        <f t="shared" si="62"/>
        <v>2141.4543217665619</v>
      </c>
      <c r="X193" s="11">
        <v>1274.4000000000001</v>
      </c>
      <c r="Y193" s="17">
        <f t="shared" si="49"/>
        <v>1256.6999999999998</v>
      </c>
      <c r="Z193" s="17">
        <f t="shared" si="50"/>
        <v>1256.6999999999998</v>
      </c>
      <c r="AA193" s="17">
        <f t="shared" si="51"/>
        <v>0</v>
      </c>
      <c r="AB193" s="20">
        <f t="shared" si="52"/>
        <v>867.05432176656177</v>
      </c>
      <c r="AC193" s="17">
        <f t="shared" si="53"/>
        <v>867.05432176656177</v>
      </c>
      <c r="AD193" s="17">
        <f t="shared" si="54"/>
        <v>0</v>
      </c>
      <c r="AE193" s="29">
        <v>44.7</v>
      </c>
      <c r="AF193" s="28">
        <f t="shared" si="55"/>
        <v>56624.161073825497</v>
      </c>
      <c r="AG193" s="28">
        <f t="shared" si="63"/>
        <v>47907.255520504732</v>
      </c>
      <c r="AH193" s="28">
        <f t="shared" si="56"/>
        <v>28510.067114093959</v>
      </c>
      <c r="AI193" s="42">
        <f t="shared" si="57"/>
        <v>28114.093959731537</v>
      </c>
      <c r="AJ193" s="44">
        <f t="shared" si="65"/>
        <v>52.833333333333329</v>
      </c>
      <c r="AK193" s="45">
        <f t="shared" si="58"/>
        <v>47907.255520504732</v>
      </c>
      <c r="AL193" s="45">
        <f t="shared" si="59"/>
        <v>24121.135646687701</v>
      </c>
      <c r="AM193" s="45">
        <f t="shared" si="60"/>
        <v>23786.119873817031</v>
      </c>
      <c r="AN193" s="23">
        <f t="shared" si="61"/>
        <v>1.181953765846383</v>
      </c>
      <c r="AP193" s="20" t="e">
        <f>IF(AH193/S193&lt;#REF!,AH193,0)</f>
        <v>#REF!</v>
      </c>
      <c r="AQ193" s="11" t="e">
        <f>IF(AP193&gt;0,(#REF!*S193-AP193)*AE193/1000*1.302*4,0)</f>
        <v>#REF!</v>
      </c>
    </row>
    <row r="194" spans="1:43" x14ac:dyDescent="0.25">
      <c r="A194" s="8" t="s">
        <v>276</v>
      </c>
      <c r="B194" s="30">
        <v>20</v>
      </c>
      <c r="C194" s="8">
        <v>454</v>
      </c>
      <c r="D194" s="8">
        <v>514</v>
      </c>
      <c r="E194" s="8">
        <v>49</v>
      </c>
      <c r="F194" s="8">
        <f t="shared" si="45"/>
        <v>1017</v>
      </c>
      <c r="J194" s="8">
        <f t="shared" si="46"/>
        <v>0</v>
      </c>
      <c r="K194" s="8">
        <v>6</v>
      </c>
      <c r="L194" s="8">
        <v>5</v>
      </c>
      <c r="M194" s="8">
        <v>0</v>
      </c>
      <c r="N194" s="8">
        <f t="shared" si="47"/>
        <v>11</v>
      </c>
      <c r="O194" s="8">
        <v>16</v>
      </c>
      <c r="P194" s="8">
        <v>19</v>
      </c>
      <c r="Q194" s="8">
        <v>2</v>
      </c>
      <c r="R194" s="8">
        <f t="shared" si="48"/>
        <v>37</v>
      </c>
      <c r="S194" s="31">
        <v>1.5</v>
      </c>
      <c r="T194" s="30">
        <v>1</v>
      </c>
      <c r="U194" s="66">
        <f>IF(A194='Свод по районам'!$A$28,'Свод по районам'!$G$28,0)</f>
        <v>1.5375864844115965</v>
      </c>
      <c r="V194" s="30">
        <f t="shared" si="64"/>
        <v>2344.6999999999998</v>
      </c>
      <c r="W194" s="12">
        <f t="shared" si="62"/>
        <v>1473.0691412742383</v>
      </c>
      <c r="X194" s="11">
        <v>1272.8999999999999</v>
      </c>
      <c r="Y194" s="17">
        <f t="shared" si="49"/>
        <v>1071.8</v>
      </c>
      <c r="Z194" s="17">
        <f t="shared" si="50"/>
        <v>1071.8</v>
      </c>
      <c r="AA194" s="17">
        <f t="shared" si="51"/>
        <v>0</v>
      </c>
      <c r="AB194" s="20">
        <f t="shared" si="52"/>
        <v>200.16914127423843</v>
      </c>
      <c r="AC194" s="17">
        <f t="shared" si="53"/>
        <v>200.16914127423843</v>
      </c>
      <c r="AD194" s="17">
        <f t="shared" si="54"/>
        <v>0</v>
      </c>
      <c r="AE194" s="29">
        <v>37.799999999999997</v>
      </c>
      <c r="AF194" s="28">
        <f t="shared" si="55"/>
        <v>62029.100529100535</v>
      </c>
      <c r="AG194" s="28">
        <f t="shared" si="63"/>
        <v>38970.083102493081</v>
      </c>
      <c r="AH194" s="28">
        <f t="shared" si="56"/>
        <v>33674.603174603173</v>
      </c>
      <c r="AI194" s="42">
        <f t="shared" si="57"/>
        <v>28354.497354497362</v>
      </c>
      <c r="AJ194" s="44">
        <f t="shared" si="65"/>
        <v>60.166666666666657</v>
      </c>
      <c r="AK194" s="45">
        <f t="shared" si="58"/>
        <v>38970.083102493081</v>
      </c>
      <c r="AL194" s="45">
        <f t="shared" si="59"/>
        <v>21156.232686980613</v>
      </c>
      <c r="AM194" s="45">
        <f t="shared" si="60"/>
        <v>17813.850415512468</v>
      </c>
      <c r="AN194" s="23">
        <f t="shared" si="61"/>
        <v>1.5917107583774248</v>
      </c>
      <c r="AP194" s="20" t="e">
        <f>IF(AH194/S194&lt;#REF!,AH194,0)</f>
        <v>#REF!</v>
      </c>
      <c r="AQ194" s="11" t="e">
        <f>IF(AP194&gt;0,(#REF!*S194-AP194)*AE194/1000*1.302*4,0)</f>
        <v>#REF!</v>
      </c>
    </row>
    <row r="195" spans="1:43" x14ac:dyDescent="0.25">
      <c r="A195" s="8" t="s">
        <v>276</v>
      </c>
      <c r="B195" s="30">
        <v>42</v>
      </c>
      <c r="C195" s="8">
        <v>452</v>
      </c>
      <c r="D195" s="8">
        <v>447</v>
      </c>
      <c r="E195" s="8">
        <v>102</v>
      </c>
      <c r="F195" s="8">
        <f t="shared" si="45"/>
        <v>1001</v>
      </c>
      <c r="J195" s="8">
        <f t="shared" si="46"/>
        <v>0</v>
      </c>
      <c r="K195" s="8">
        <v>5</v>
      </c>
      <c r="L195" s="8">
        <v>2</v>
      </c>
      <c r="M195" s="8">
        <v>2</v>
      </c>
      <c r="N195" s="8">
        <f t="shared" si="47"/>
        <v>9</v>
      </c>
      <c r="O195" s="8">
        <v>16</v>
      </c>
      <c r="P195" s="8">
        <v>16</v>
      </c>
      <c r="Q195" s="8">
        <v>4</v>
      </c>
      <c r="R195" s="8">
        <f t="shared" si="48"/>
        <v>36</v>
      </c>
      <c r="S195" s="31">
        <v>1.5</v>
      </c>
      <c r="T195" s="30">
        <v>1</v>
      </c>
      <c r="U195" s="66">
        <f>IF(A195='Свод по районам'!$A$28,'Свод по районам'!$G$28,0)</f>
        <v>1.5375864844115965</v>
      </c>
      <c r="V195" s="30">
        <f t="shared" si="64"/>
        <v>2381.6999999999998</v>
      </c>
      <c r="W195" s="12">
        <f t="shared" si="62"/>
        <v>1761.9167045454544</v>
      </c>
      <c r="X195" s="11">
        <v>1259.3999999999999</v>
      </c>
      <c r="Y195" s="17">
        <f t="shared" si="49"/>
        <v>1122.3</v>
      </c>
      <c r="Z195" s="17">
        <f t="shared" si="50"/>
        <v>1122.3</v>
      </c>
      <c r="AA195" s="17">
        <f t="shared" si="51"/>
        <v>0</v>
      </c>
      <c r="AB195" s="20">
        <f t="shared" si="52"/>
        <v>502.51670454545456</v>
      </c>
      <c r="AC195" s="17">
        <f t="shared" si="53"/>
        <v>502.51670454545456</v>
      </c>
      <c r="AD195" s="17">
        <f t="shared" si="54"/>
        <v>0</v>
      </c>
      <c r="AE195" s="29">
        <v>43.4</v>
      </c>
      <c r="AF195" s="28">
        <f t="shared" si="55"/>
        <v>54877.880184331792</v>
      </c>
      <c r="AG195" s="28">
        <f t="shared" si="63"/>
        <v>40597.159090909088</v>
      </c>
      <c r="AH195" s="28">
        <f t="shared" si="56"/>
        <v>29018.433179723503</v>
      </c>
      <c r="AI195" s="42">
        <f t="shared" si="57"/>
        <v>25859.44700460829</v>
      </c>
      <c r="AJ195" s="44">
        <f t="shared" si="65"/>
        <v>58.666666666666664</v>
      </c>
      <c r="AK195" s="45">
        <f t="shared" si="58"/>
        <v>40597.159090909088</v>
      </c>
      <c r="AL195" s="45">
        <f t="shared" si="59"/>
        <v>21467.045454545452</v>
      </c>
      <c r="AM195" s="45">
        <f t="shared" si="60"/>
        <v>19130.113636363636</v>
      </c>
      <c r="AN195" s="23">
        <f t="shared" si="61"/>
        <v>1.3517665130568357</v>
      </c>
      <c r="AP195" s="20" t="e">
        <f>IF(AH195/S195&lt;#REF!,AH195,0)</f>
        <v>#REF!</v>
      </c>
      <c r="AQ195" s="11" t="e">
        <f>IF(AP195&gt;0,(#REF!*S195-AP195)*AE195/1000*1.302*4,0)</f>
        <v>#REF!</v>
      </c>
    </row>
    <row r="196" spans="1:43" x14ac:dyDescent="0.25">
      <c r="A196" s="8" t="s">
        <v>276</v>
      </c>
      <c r="B196" s="30">
        <v>43</v>
      </c>
      <c r="C196" s="8">
        <v>466</v>
      </c>
      <c r="D196" s="8">
        <v>478</v>
      </c>
      <c r="E196" s="8">
        <v>55</v>
      </c>
      <c r="F196" s="8">
        <f t="shared" si="45"/>
        <v>999</v>
      </c>
      <c r="J196" s="8">
        <f t="shared" si="46"/>
        <v>0</v>
      </c>
      <c r="K196" s="8">
        <v>5</v>
      </c>
      <c r="L196" s="8">
        <v>4</v>
      </c>
      <c r="M196" s="8">
        <v>0</v>
      </c>
      <c r="N196" s="8">
        <f t="shared" si="47"/>
        <v>9</v>
      </c>
      <c r="O196" s="8">
        <v>16</v>
      </c>
      <c r="P196" s="8">
        <v>18</v>
      </c>
      <c r="Q196" s="8">
        <v>2</v>
      </c>
      <c r="R196" s="8">
        <f t="shared" si="48"/>
        <v>36</v>
      </c>
      <c r="S196" s="31">
        <v>1.5</v>
      </c>
      <c r="T196" s="30">
        <v>1</v>
      </c>
      <c r="U196" s="66">
        <f>IF(A196='Свод по районам'!$A$28,'Свод по районам'!$G$28,0)</f>
        <v>1.5375864844115965</v>
      </c>
      <c r="V196" s="30">
        <f t="shared" si="64"/>
        <v>2295.1</v>
      </c>
      <c r="W196" s="12">
        <f t="shared" si="62"/>
        <v>1534.4382857142859</v>
      </c>
      <c r="X196" s="11">
        <v>1189.8999999999999</v>
      </c>
      <c r="Y196" s="17">
        <f t="shared" si="49"/>
        <v>1105.2</v>
      </c>
      <c r="Z196" s="17">
        <f t="shared" si="50"/>
        <v>1105.2</v>
      </c>
      <c r="AA196" s="17">
        <f t="shared" si="51"/>
        <v>0</v>
      </c>
      <c r="AB196" s="20">
        <f t="shared" si="52"/>
        <v>344.53828571428608</v>
      </c>
      <c r="AC196" s="17">
        <f t="shared" si="53"/>
        <v>344.53828571428608</v>
      </c>
      <c r="AD196" s="17">
        <f t="shared" si="54"/>
        <v>0</v>
      </c>
      <c r="AE196" s="29">
        <v>39</v>
      </c>
      <c r="AF196" s="28">
        <f t="shared" si="55"/>
        <v>58848.717948717946</v>
      </c>
      <c r="AG196" s="28">
        <f t="shared" si="63"/>
        <v>39344.571428571435</v>
      </c>
      <c r="AH196" s="28">
        <f t="shared" si="56"/>
        <v>30510.256410256407</v>
      </c>
      <c r="AI196" s="42">
        <f t="shared" si="57"/>
        <v>28338.461538461539</v>
      </c>
      <c r="AJ196" s="44">
        <f t="shared" si="65"/>
        <v>58.333333333333329</v>
      </c>
      <c r="AK196" s="45">
        <f t="shared" si="58"/>
        <v>39344.571428571428</v>
      </c>
      <c r="AL196" s="45">
        <f t="shared" si="59"/>
        <v>20398.285714285714</v>
      </c>
      <c r="AM196" s="45">
        <f t="shared" si="60"/>
        <v>18946.285714285714</v>
      </c>
      <c r="AN196" s="23">
        <f t="shared" si="61"/>
        <v>1.4957264957264955</v>
      </c>
      <c r="AP196" s="20" t="e">
        <f>IF(AH196/S196&lt;#REF!,AH196,0)</f>
        <v>#REF!</v>
      </c>
      <c r="AQ196" s="11" t="e">
        <f>IF(AP196&gt;0,(#REF!*S196-AP196)*AE196/1000*1.302*4,0)</f>
        <v>#REF!</v>
      </c>
    </row>
    <row r="197" spans="1:43" x14ac:dyDescent="0.25">
      <c r="A197" s="8" t="s">
        <v>276</v>
      </c>
      <c r="B197" s="30">
        <v>31</v>
      </c>
      <c r="C197" s="8">
        <v>510</v>
      </c>
      <c r="D197" s="8">
        <v>455</v>
      </c>
      <c r="E197" s="8">
        <v>23</v>
      </c>
      <c r="F197" s="8">
        <f t="shared" si="45"/>
        <v>988</v>
      </c>
      <c r="J197" s="8">
        <f t="shared" si="46"/>
        <v>0</v>
      </c>
      <c r="K197" s="8">
        <v>13</v>
      </c>
      <c r="L197" s="8">
        <v>4</v>
      </c>
      <c r="M197" s="8">
        <v>0</v>
      </c>
      <c r="N197" s="8">
        <f t="shared" si="47"/>
        <v>17</v>
      </c>
      <c r="O197" s="8">
        <v>19</v>
      </c>
      <c r="P197" s="8">
        <v>15</v>
      </c>
      <c r="Q197" s="8">
        <v>2</v>
      </c>
      <c r="R197" s="8">
        <f t="shared" si="48"/>
        <v>36</v>
      </c>
      <c r="S197" s="31">
        <v>1.5</v>
      </c>
      <c r="T197" s="30">
        <v>1</v>
      </c>
      <c r="U197" s="66">
        <f>IF(A197='Свод по районам'!$A$28,'Свод по районам'!$G$28,0)</f>
        <v>1.5375864844115965</v>
      </c>
      <c r="V197" s="30">
        <f t="shared" si="64"/>
        <v>2184.4</v>
      </c>
      <c r="W197" s="12">
        <f t="shared" si="62"/>
        <v>1368.2927859237539</v>
      </c>
      <c r="X197" s="11">
        <v>1122.6999999999998</v>
      </c>
      <c r="Y197" s="17">
        <f t="shared" si="49"/>
        <v>1061.7000000000003</v>
      </c>
      <c r="Z197" s="17">
        <f t="shared" si="50"/>
        <v>1061.7000000000003</v>
      </c>
      <c r="AA197" s="17">
        <f t="shared" si="51"/>
        <v>0</v>
      </c>
      <c r="AB197" s="20">
        <f t="shared" si="52"/>
        <v>245.59278592375404</v>
      </c>
      <c r="AC197" s="17">
        <f t="shared" si="53"/>
        <v>245.59278592375404</v>
      </c>
      <c r="AD197" s="17">
        <f t="shared" si="54"/>
        <v>0</v>
      </c>
      <c r="AE197" s="29">
        <v>35.6</v>
      </c>
      <c r="AF197" s="28">
        <f t="shared" si="55"/>
        <v>61359.550561797754</v>
      </c>
      <c r="AG197" s="28">
        <f t="shared" si="63"/>
        <v>38435.190615835782</v>
      </c>
      <c r="AH197" s="28">
        <f t="shared" si="56"/>
        <v>31536.516853932579</v>
      </c>
      <c r="AI197" s="42">
        <f t="shared" si="57"/>
        <v>29823.033707865176</v>
      </c>
      <c r="AJ197" s="44">
        <f t="shared" si="65"/>
        <v>56.833333333333329</v>
      </c>
      <c r="AK197" s="45">
        <f t="shared" si="58"/>
        <v>38435.190615835782</v>
      </c>
      <c r="AL197" s="45">
        <f t="shared" si="59"/>
        <v>19754.252199413488</v>
      </c>
      <c r="AM197" s="45">
        <f t="shared" si="60"/>
        <v>18680.938416422294</v>
      </c>
      <c r="AN197" s="23">
        <f t="shared" si="61"/>
        <v>1.5964419475655429</v>
      </c>
      <c r="AP197" s="20" t="e">
        <f>IF(AH197/S197&lt;#REF!,AH197,0)</f>
        <v>#REF!</v>
      </c>
      <c r="AQ197" s="11" t="e">
        <f>IF(AP197&gt;0,(#REF!*S197-AP197)*AE197/1000*1.302*4,0)</f>
        <v>#REF!</v>
      </c>
    </row>
    <row r="198" spans="1:43" x14ac:dyDescent="0.25">
      <c r="A198" s="8" t="s">
        <v>276</v>
      </c>
      <c r="B198" s="30">
        <v>1</v>
      </c>
      <c r="C198" s="8">
        <v>380</v>
      </c>
      <c r="D198" s="8">
        <v>469</v>
      </c>
      <c r="E198" s="8">
        <v>106</v>
      </c>
      <c r="F198" s="8">
        <f t="shared" si="45"/>
        <v>955</v>
      </c>
      <c r="J198" s="8">
        <f t="shared" si="46"/>
        <v>0</v>
      </c>
      <c r="K198" s="8">
        <v>3</v>
      </c>
      <c r="L198" s="8">
        <v>6</v>
      </c>
      <c r="M198" s="8">
        <v>0</v>
      </c>
      <c r="N198" s="8">
        <f t="shared" si="47"/>
        <v>9</v>
      </c>
      <c r="O198" s="8">
        <v>13</v>
      </c>
      <c r="P198" s="8">
        <v>15</v>
      </c>
      <c r="Q198" s="8">
        <v>4</v>
      </c>
      <c r="R198" s="8">
        <f t="shared" si="48"/>
        <v>32</v>
      </c>
      <c r="S198" s="31">
        <v>1.5</v>
      </c>
      <c r="T198" s="30">
        <v>1</v>
      </c>
      <c r="U198" s="66">
        <f>IF(A198='Свод по районам'!$A$28,'Свод по районам'!$G$28,0)</f>
        <v>1.5375864844115965</v>
      </c>
      <c r="V198" s="30">
        <f t="shared" si="64"/>
        <v>2329.1999999999998</v>
      </c>
      <c r="W198" s="12">
        <f t="shared" si="62"/>
        <v>1763.4321766561513</v>
      </c>
      <c r="X198" s="11">
        <v>1113.3</v>
      </c>
      <c r="Y198" s="17">
        <f t="shared" si="49"/>
        <v>1215.8999999999999</v>
      </c>
      <c r="Z198" s="17">
        <f t="shared" si="50"/>
        <v>1215.8999999999999</v>
      </c>
      <c r="AA198" s="17">
        <f t="shared" si="51"/>
        <v>0</v>
      </c>
      <c r="AB198" s="20">
        <f t="shared" si="52"/>
        <v>650.13217665615139</v>
      </c>
      <c r="AC198" s="17">
        <f t="shared" si="53"/>
        <v>650.13217665615139</v>
      </c>
      <c r="AD198" s="17">
        <f t="shared" si="54"/>
        <v>0</v>
      </c>
      <c r="AE198" s="29">
        <v>40</v>
      </c>
      <c r="AF198" s="28">
        <f t="shared" si="55"/>
        <v>58230</v>
      </c>
      <c r="AG198" s="28">
        <f t="shared" si="63"/>
        <v>44085.804416403786</v>
      </c>
      <c r="AH198" s="28">
        <f t="shared" si="56"/>
        <v>27832.5</v>
      </c>
      <c r="AI198" s="42">
        <f t="shared" si="57"/>
        <v>30397.5</v>
      </c>
      <c r="AJ198" s="44">
        <f t="shared" si="65"/>
        <v>52.833333333333329</v>
      </c>
      <c r="AK198" s="45">
        <f t="shared" si="58"/>
        <v>44085.804416403786</v>
      </c>
      <c r="AL198" s="45">
        <f t="shared" si="59"/>
        <v>21071.924290220821</v>
      </c>
      <c r="AM198" s="45">
        <f t="shared" si="60"/>
        <v>23013.880126182965</v>
      </c>
      <c r="AN198" s="23">
        <f t="shared" si="61"/>
        <v>1.3208333333333333</v>
      </c>
      <c r="AP198" s="20" t="e">
        <f>IF(AH198/S198&lt;#REF!,AH198,0)</f>
        <v>#REF!</v>
      </c>
      <c r="AQ198" s="11" t="e">
        <f>IF(AP198&gt;0,(#REF!*S198-AP198)*AE198/1000*1.302*4,0)</f>
        <v>#REF!</v>
      </c>
    </row>
    <row r="199" spans="1:43" x14ac:dyDescent="0.25">
      <c r="A199" s="8" t="s">
        <v>276</v>
      </c>
      <c r="B199" s="30">
        <v>64</v>
      </c>
      <c r="C199" s="8">
        <v>438</v>
      </c>
      <c r="D199" s="8">
        <v>461</v>
      </c>
      <c r="E199" s="8">
        <v>55</v>
      </c>
      <c r="F199" s="8">
        <f t="shared" si="45"/>
        <v>954</v>
      </c>
      <c r="J199" s="8">
        <f t="shared" si="46"/>
        <v>0</v>
      </c>
      <c r="K199" s="8">
        <v>5</v>
      </c>
      <c r="L199" s="8">
        <v>8</v>
      </c>
      <c r="M199" s="8">
        <v>0</v>
      </c>
      <c r="N199" s="8">
        <f t="shared" si="47"/>
        <v>13</v>
      </c>
      <c r="O199" s="8">
        <v>16</v>
      </c>
      <c r="P199" s="8">
        <v>18</v>
      </c>
      <c r="Q199" s="8">
        <v>3</v>
      </c>
      <c r="R199" s="8">
        <f t="shared" si="48"/>
        <v>37</v>
      </c>
      <c r="S199" s="31">
        <v>1.5</v>
      </c>
      <c r="T199" s="30">
        <v>1</v>
      </c>
      <c r="U199" s="66">
        <f>IF(A199='Свод по районам'!$A$28,'Свод по районам'!$G$28,0)</f>
        <v>1.5375864844115965</v>
      </c>
      <c r="V199" s="30">
        <f t="shared" si="64"/>
        <v>2203.6999999999998</v>
      </c>
      <c r="W199" s="12">
        <f t="shared" si="62"/>
        <v>1413.5335359116023</v>
      </c>
      <c r="X199" s="11">
        <v>1151.2</v>
      </c>
      <c r="Y199" s="17">
        <f t="shared" si="49"/>
        <v>1052.4999999999998</v>
      </c>
      <c r="Z199" s="17">
        <f t="shared" si="50"/>
        <v>1052.4999999999998</v>
      </c>
      <c r="AA199" s="17">
        <f t="shared" si="51"/>
        <v>0</v>
      </c>
      <c r="AB199" s="20">
        <f t="shared" si="52"/>
        <v>262.33353591160221</v>
      </c>
      <c r="AC199" s="17">
        <f t="shared" si="53"/>
        <v>262.33353591160221</v>
      </c>
      <c r="AD199" s="17">
        <f t="shared" si="54"/>
        <v>0</v>
      </c>
      <c r="AE199" s="29">
        <v>38.700000000000003</v>
      </c>
      <c r="AF199" s="28">
        <f t="shared" si="55"/>
        <v>56943.152454780356</v>
      </c>
      <c r="AG199" s="28">
        <f t="shared" si="63"/>
        <v>36525.414364640877</v>
      </c>
      <c r="AH199" s="28">
        <f t="shared" si="56"/>
        <v>29746.770025839793</v>
      </c>
      <c r="AI199" s="42">
        <f t="shared" si="57"/>
        <v>27196.382428940564</v>
      </c>
      <c r="AJ199" s="44">
        <f t="shared" si="65"/>
        <v>60.333333333333329</v>
      </c>
      <c r="AK199" s="45">
        <f t="shared" si="58"/>
        <v>36525.414364640877</v>
      </c>
      <c r="AL199" s="45">
        <f t="shared" si="59"/>
        <v>19080.662983425416</v>
      </c>
      <c r="AM199" s="45">
        <f t="shared" si="60"/>
        <v>17444.751381215461</v>
      </c>
      <c r="AN199" s="23">
        <f t="shared" si="61"/>
        <v>1.5590008613264426</v>
      </c>
      <c r="AP199" s="20" t="e">
        <f>IF(AH199/S199&lt;#REF!,AH199,0)</f>
        <v>#REF!</v>
      </c>
      <c r="AQ199" s="11" t="e">
        <f>IF(AP199&gt;0,(#REF!*S199-AP199)*AE199/1000*1.302*4,0)</f>
        <v>#REF!</v>
      </c>
    </row>
    <row r="200" spans="1:43" x14ac:dyDescent="0.25">
      <c r="A200" s="8" t="s">
        <v>276</v>
      </c>
      <c r="B200" s="30">
        <v>2</v>
      </c>
      <c r="C200" s="8">
        <v>457</v>
      </c>
      <c r="D200" s="8">
        <v>380</v>
      </c>
      <c r="E200" s="8">
        <v>102</v>
      </c>
      <c r="F200" s="8">
        <f t="shared" si="45"/>
        <v>939</v>
      </c>
      <c r="J200" s="8">
        <f t="shared" si="46"/>
        <v>0</v>
      </c>
      <c r="K200" s="8">
        <v>2</v>
      </c>
      <c r="L200" s="8">
        <v>8</v>
      </c>
      <c r="M200" s="8">
        <v>0</v>
      </c>
      <c r="N200" s="8">
        <f t="shared" si="47"/>
        <v>10</v>
      </c>
      <c r="O200" s="8">
        <v>18</v>
      </c>
      <c r="P200" s="8">
        <v>14</v>
      </c>
      <c r="Q200" s="8">
        <v>5</v>
      </c>
      <c r="R200" s="8">
        <f t="shared" si="48"/>
        <v>37</v>
      </c>
      <c r="S200" s="31">
        <v>1.5</v>
      </c>
      <c r="T200" s="30">
        <v>1</v>
      </c>
      <c r="U200" s="66">
        <f>IF(A200='Свод по районам'!$A$28,'Свод по районам'!$G$28,0)</f>
        <v>1.5375864844115965</v>
      </c>
      <c r="V200" s="30">
        <f t="shared" si="64"/>
        <v>2215.6</v>
      </c>
      <c r="W200" s="12">
        <f t="shared" si="62"/>
        <v>1670.9832402234636</v>
      </c>
      <c r="X200" s="11">
        <v>1265.3</v>
      </c>
      <c r="Y200" s="17">
        <f t="shared" si="49"/>
        <v>950.3</v>
      </c>
      <c r="Z200" s="17">
        <f t="shared" si="50"/>
        <v>950.3</v>
      </c>
      <c r="AA200" s="17">
        <f t="shared" si="51"/>
        <v>0</v>
      </c>
      <c r="AB200" s="20">
        <f t="shared" si="52"/>
        <v>405.6832402234636</v>
      </c>
      <c r="AC200" s="17">
        <f t="shared" si="53"/>
        <v>405.6832402234636</v>
      </c>
      <c r="AD200" s="17">
        <f t="shared" si="54"/>
        <v>0</v>
      </c>
      <c r="AE200" s="29">
        <v>45</v>
      </c>
      <c r="AF200" s="28">
        <f t="shared" si="55"/>
        <v>49235.555555555555</v>
      </c>
      <c r="AG200" s="28">
        <f t="shared" si="63"/>
        <v>37132.960893854746</v>
      </c>
      <c r="AH200" s="28">
        <f t="shared" si="56"/>
        <v>28117.777777777777</v>
      </c>
      <c r="AI200" s="42">
        <f t="shared" si="57"/>
        <v>21117.777777777777</v>
      </c>
      <c r="AJ200" s="44">
        <f t="shared" si="65"/>
        <v>59.666666666666664</v>
      </c>
      <c r="AK200" s="45">
        <f t="shared" si="58"/>
        <v>37132.960893854754</v>
      </c>
      <c r="AL200" s="45">
        <f t="shared" si="59"/>
        <v>21206.145251396647</v>
      </c>
      <c r="AM200" s="45">
        <f t="shared" si="60"/>
        <v>15926.815642458107</v>
      </c>
      <c r="AN200" s="23">
        <f t="shared" si="61"/>
        <v>1.325925925925926</v>
      </c>
      <c r="AP200" s="20" t="e">
        <f>IF(AH200/S200&lt;#REF!,AH200,0)</f>
        <v>#REF!</v>
      </c>
      <c r="AQ200" s="11" t="e">
        <f>IF(AP200&gt;0,(#REF!*S200-AP200)*AE200/1000*1.302*4,0)</f>
        <v>#REF!</v>
      </c>
    </row>
    <row r="201" spans="1:43" x14ac:dyDescent="0.25">
      <c r="A201" s="8" t="s">
        <v>276</v>
      </c>
      <c r="B201" s="30">
        <v>22</v>
      </c>
      <c r="C201" s="8">
        <v>459</v>
      </c>
      <c r="D201" s="8">
        <v>416</v>
      </c>
      <c r="E201" s="8">
        <v>54</v>
      </c>
      <c r="F201" s="8">
        <f t="shared" si="45"/>
        <v>929</v>
      </c>
      <c r="J201" s="8">
        <f t="shared" si="46"/>
        <v>0</v>
      </c>
      <c r="K201" s="8">
        <v>9</v>
      </c>
      <c r="L201" s="8">
        <v>3</v>
      </c>
      <c r="M201" s="8">
        <v>0</v>
      </c>
      <c r="N201" s="8">
        <f t="shared" si="47"/>
        <v>12</v>
      </c>
      <c r="O201" s="8">
        <v>17</v>
      </c>
      <c r="P201" s="8">
        <v>15</v>
      </c>
      <c r="Q201" s="8">
        <v>2</v>
      </c>
      <c r="R201" s="8">
        <f t="shared" si="48"/>
        <v>34</v>
      </c>
      <c r="S201" s="31">
        <v>1.5</v>
      </c>
      <c r="T201" s="30">
        <v>1</v>
      </c>
      <c r="U201" s="66">
        <f>IF(A201='Свод по районам'!$A$28,'Свод по районам'!$G$28,0)</f>
        <v>1.5375864844115965</v>
      </c>
      <c r="V201" s="30">
        <f t="shared" si="64"/>
        <v>2117.4</v>
      </c>
      <c r="W201" s="12">
        <f t="shared" si="62"/>
        <v>1137.5324307692308</v>
      </c>
      <c r="X201" s="11">
        <v>1036.5999999999999</v>
      </c>
      <c r="Y201" s="17">
        <f t="shared" si="49"/>
        <v>1080.8000000000002</v>
      </c>
      <c r="Z201" s="17">
        <f t="shared" si="50"/>
        <v>1080.8000000000002</v>
      </c>
      <c r="AA201" s="17">
        <f t="shared" si="51"/>
        <v>0</v>
      </c>
      <c r="AB201" s="20">
        <f t="shared" si="52"/>
        <v>100.9324307692309</v>
      </c>
      <c r="AC201" s="17">
        <f t="shared" si="53"/>
        <v>100.9324307692309</v>
      </c>
      <c r="AD201" s="17">
        <f t="shared" si="54"/>
        <v>0</v>
      </c>
      <c r="AE201" s="29">
        <v>29.1</v>
      </c>
      <c r="AF201" s="28">
        <f t="shared" si="55"/>
        <v>72762.886597938152</v>
      </c>
      <c r="AG201" s="28">
        <f t="shared" si="63"/>
        <v>39090.461538461539</v>
      </c>
      <c r="AH201" s="28">
        <f t="shared" si="56"/>
        <v>35621.993127147762</v>
      </c>
      <c r="AI201" s="42">
        <f t="shared" si="57"/>
        <v>37140.89347079039</v>
      </c>
      <c r="AJ201" s="44">
        <f t="shared" si="65"/>
        <v>54.166666666666664</v>
      </c>
      <c r="AK201" s="45">
        <f t="shared" si="58"/>
        <v>39090.461538461539</v>
      </c>
      <c r="AL201" s="45">
        <f t="shared" si="59"/>
        <v>19137.23076923077</v>
      </c>
      <c r="AM201" s="45">
        <f t="shared" si="60"/>
        <v>19953.23076923077</v>
      </c>
      <c r="AN201" s="23">
        <f t="shared" si="61"/>
        <v>1.8613974799541808</v>
      </c>
      <c r="AP201" s="20" t="e">
        <f>IF(AH201/S201&lt;#REF!,AH201,0)</f>
        <v>#REF!</v>
      </c>
      <c r="AQ201" s="11" t="e">
        <f>IF(AP201&gt;0,(#REF!*S201-AP201)*AE201/1000*1.302*4,0)</f>
        <v>#REF!</v>
      </c>
    </row>
    <row r="202" spans="1:43" x14ac:dyDescent="0.25">
      <c r="A202" s="8" t="s">
        <v>276</v>
      </c>
      <c r="B202" s="30">
        <v>18</v>
      </c>
      <c r="C202" s="8">
        <v>439</v>
      </c>
      <c r="D202" s="8">
        <v>410</v>
      </c>
      <c r="E202" s="8">
        <v>65</v>
      </c>
      <c r="F202" s="8">
        <f t="shared" si="45"/>
        <v>914</v>
      </c>
      <c r="J202" s="8">
        <f t="shared" si="46"/>
        <v>0</v>
      </c>
      <c r="K202" s="8">
        <v>8</v>
      </c>
      <c r="L202" s="8">
        <v>3</v>
      </c>
      <c r="M202" s="8">
        <v>0</v>
      </c>
      <c r="N202" s="8">
        <f t="shared" si="47"/>
        <v>11</v>
      </c>
      <c r="O202" s="8">
        <v>15</v>
      </c>
      <c r="P202" s="8">
        <v>15</v>
      </c>
      <c r="Q202" s="8">
        <v>2</v>
      </c>
      <c r="R202" s="8">
        <f t="shared" si="48"/>
        <v>32</v>
      </c>
      <c r="S202" s="31">
        <v>1.5</v>
      </c>
      <c r="T202" s="30">
        <v>1</v>
      </c>
      <c r="U202" s="66">
        <f>IF(A202='Свод по районам'!$A$28,'Свод по районам'!$G$28,0)</f>
        <v>1.5375864844115965</v>
      </c>
      <c r="V202" s="30">
        <f t="shared" si="64"/>
        <v>2111.1999999999998</v>
      </c>
      <c r="W202" s="12">
        <f t="shared" si="62"/>
        <v>1475.7902912621357</v>
      </c>
      <c r="X202" s="11">
        <v>1034.9000000000001</v>
      </c>
      <c r="Y202" s="17">
        <f t="shared" si="49"/>
        <v>1076.2999999999997</v>
      </c>
      <c r="Z202" s="17">
        <f t="shared" si="50"/>
        <v>1076.2999999999997</v>
      </c>
      <c r="AA202" s="17">
        <f t="shared" si="51"/>
        <v>0</v>
      </c>
      <c r="AB202" s="20">
        <f t="shared" si="52"/>
        <v>440.89029126213563</v>
      </c>
      <c r="AC202" s="17">
        <f t="shared" si="53"/>
        <v>440.89029126213563</v>
      </c>
      <c r="AD202" s="17">
        <f t="shared" si="54"/>
        <v>0</v>
      </c>
      <c r="AE202" s="29">
        <v>36</v>
      </c>
      <c r="AF202" s="28">
        <f t="shared" si="55"/>
        <v>58644.444444444438</v>
      </c>
      <c r="AG202" s="28">
        <f t="shared" si="63"/>
        <v>40994.174757281551</v>
      </c>
      <c r="AH202" s="28">
        <f t="shared" si="56"/>
        <v>28747.222222222223</v>
      </c>
      <c r="AI202" s="42">
        <f t="shared" si="57"/>
        <v>29897.222222222215</v>
      </c>
      <c r="AJ202" s="44">
        <f t="shared" si="65"/>
        <v>51.5</v>
      </c>
      <c r="AK202" s="45">
        <f t="shared" si="58"/>
        <v>40994.174757281551</v>
      </c>
      <c r="AL202" s="45">
        <f t="shared" si="59"/>
        <v>20095.145631067964</v>
      </c>
      <c r="AM202" s="45">
        <f t="shared" si="60"/>
        <v>20899.029126213587</v>
      </c>
      <c r="AN202" s="23">
        <f t="shared" si="61"/>
        <v>1.4305555555555556</v>
      </c>
      <c r="AP202" s="20" t="e">
        <f>IF(AH202/S202&lt;#REF!,AH202,0)</f>
        <v>#REF!</v>
      </c>
      <c r="AQ202" s="11" t="e">
        <f>IF(AP202&gt;0,(#REF!*S202-AP202)*AE202/1000*1.302*4,0)</f>
        <v>#REF!</v>
      </c>
    </row>
    <row r="203" spans="1:43" x14ac:dyDescent="0.25">
      <c r="A203" s="8" t="s">
        <v>276</v>
      </c>
      <c r="B203" s="30">
        <v>51</v>
      </c>
      <c r="C203" s="8">
        <v>379</v>
      </c>
      <c r="D203" s="8">
        <v>454</v>
      </c>
      <c r="E203" s="8">
        <v>76</v>
      </c>
      <c r="F203" s="8">
        <f t="shared" si="45"/>
        <v>909</v>
      </c>
      <c r="J203" s="8">
        <f t="shared" si="46"/>
        <v>0</v>
      </c>
      <c r="K203" s="8">
        <v>1</v>
      </c>
      <c r="L203" s="8">
        <v>8</v>
      </c>
      <c r="M203" s="8">
        <v>1</v>
      </c>
      <c r="N203" s="8">
        <f t="shared" si="47"/>
        <v>10</v>
      </c>
      <c r="O203" s="8">
        <v>12</v>
      </c>
      <c r="P203" s="8">
        <v>15</v>
      </c>
      <c r="Q203" s="8">
        <v>3</v>
      </c>
      <c r="R203" s="8">
        <f t="shared" si="48"/>
        <v>30</v>
      </c>
      <c r="S203" s="31">
        <v>1.5</v>
      </c>
      <c r="T203" s="30">
        <v>1</v>
      </c>
      <c r="U203" s="66">
        <f>IF(A203='Свод по районам'!$A$28,'Свод по районам'!$G$28,0)</f>
        <v>1.5375864844115965</v>
      </c>
      <c r="V203" s="30">
        <f t="shared" si="64"/>
        <v>2167</v>
      </c>
      <c r="W203" s="12">
        <f t="shared" si="62"/>
        <v>1418.3999999999999</v>
      </c>
      <c r="X203" s="11">
        <v>1114</v>
      </c>
      <c r="Y203" s="17">
        <f t="shared" si="49"/>
        <v>1053</v>
      </c>
      <c r="Z203" s="17">
        <f t="shared" si="50"/>
        <v>1053</v>
      </c>
      <c r="AA203" s="17">
        <f t="shared" si="51"/>
        <v>0</v>
      </c>
      <c r="AB203" s="20">
        <f t="shared" si="52"/>
        <v>304.39999999999986</v>
      </c>
      <c r="AC203" s="17">
        <f t="shared" si="53"/>
        <v>304.39999999999986</v>
      </c>
      <c r="AD203" s="17">
        <f t="shared" si="54"/>
        <v>0</v>
      </c>
      <c r="AE203" s="29">
        <v>32.4</v>
      </c>
      <c r="AF203" s="28">
        <f t="shared" si="55"/>
        <v>66882.716049382725</v>
      </c>
      <c r="AG203" s="28">
        <f t="shared" si="63"/>
        <v>43777.777777777781</v>
      </c>
      <c r="AH203" s="28">
        <f t="shared" si="56"/>
        <v>34382.716049382718</v>
      </c>
      <c r="AI203" s="42">
        <f t="shared" si="57"/>
        <v>32500.000000000007</v>
      </c>
      <c r="AJ203" s="44">
        <f t="shared" si="65"/>
        <v>49.5</v>
      </c>
      <c r="AK203" s="45">
        <f t="shared" si="58"/>
        <v>43777.777777777781</v>
      </c>
      <c r="AL203" s="45">
        <f t="shared" si="59"/>
        <v>22505.050505050505</v>
      </c>
      <c r="AM203" s="45">
        <f t="shared" si="60"/>
        <v>21272.727272727276</v>
      </c>
      <c r="AN203" s="23">
        <f t="shared" si="61"/>
        <v>1.5277777777777779</v>
      </c>
      <c r="AP203" s="20" t="e">
        <f>IF(AH203/S203&lt;#REF!,AH203,0)</f>
        <v>#REF!</v>
      </c>
      <c r="AQ203" s="11" t="e">
        <f>IF(AP203&gt;0,(#REF!*S203-AP203)*AE203/1000*1.302*4,0)</f>
        <v>#REF!</v>
      </c>
    </row>
    <row r="204" spans="1:43" x14ac:dyDescent="0.25">
      <c r="A204" s="8" t="s">
        <v>276</v>
      </c>
      <c r="B204" s="30">
        <v>58</v>
      </c>
      <c r="C204" s="8">
        <v>416</v>
      </c>
      <c r="D204" s="8">
        <v>454</v>
      </c>
      <c r="E204" s="8">
        <v>28</v>
      </c>
      <c r="F204" s="8">
        <f t="shared" si="45"/>
        <v>898</v>
      </c>
      <c r="G204" s="8">
        <v>1</v>
      </c>
      <c r="J204" s="8">
        <f t="shared" si="46"/>
        <v>1</v>
      </c>
      <c r="K204" s="8">
        <v>4</v>
      </c>
      <c r="L204" s="8">
        <v>1</v>
      </c>
      <c r="M204" s="8">
        <v>0</v>
      </c>
      <c r="N204" s="8">
        <f t="shared" si="47"/>
        <v>5</v>
      </c>
      <c r="O204" s="8">
        <v>15</v>
      </c>
      <c r="P204" s="8">
        <v>18</v>
      </c>
      <c r="Q204" s="8">
        <v>2</v>
      </c>
      <c r="R204" s="8">
        <f t="shared" si="48"/>
        <v>35</v>
      </c>
      <c r="S204" s="31">
        <v>1.5</v>
      </c>
      <c r="T204" s="30">
        <v>1</v>
      </c>
      <c r="U204" s="66">
        <f>IF(A204='Свод по районам'!$A$28,'Свод по районам'!$G$28,0)</f>
        <v>1.5375864844115965</v>
      </c>
      <c r="V204" s="30">
        <f t="shared" si="64"/>
        <v>2040.3</v>
      </c>
      <c r="W204" s="12">
        <f t="shared" si="62"/>
        <v>1303.5030754352031</v>
      </c>
      <c r="X204" s="11">
        <v>1109.7</v>
      </c>
      <c r="Y204" s="17">
        <f t="shared" si="49"/>
        <v>930.59999999999991</v>
      </c>
      <c r="Z204" s="17">
        <f t="shared" si="50"/>
        <v>930.59999999999991</v>
      </c>
      <c r="AA204" s="17">
        <f t="shared" si="51"/>
        <v>0</v>
      </c>
      <c r="AB204" s="20">
        <f t="shared" si="52"/>
        <v>193.80307543520303</v>
      </c>
      <c r="AC204" s="17">
        <f t="shared" si="53"/>
        <v>193.80307543520303</v>
      </c>
      <c r="AD204" s="17">
        <f t="shared" si="54"/>
        <v>0</v>
      </c>
      <c r="AE204" s="29">
        <v>36.700000000000003</v>
      </c>
      <c r="AF204" s="28">
        <f t="shared" si="55"/>
        <v>55594.00544959127</v>
      </c>
      <c r="AG204" s="28">
        <f t="shared" si="63"/>
        <v>35517.794970986455</v>
      </c>
      <c r="AH204" s="28">
        <f t="shared" si="56"/>
        <v>30237.057220708448</v>
      </c>
      <c r="AI204" s="42">
        <f t="shared" si="57"/>
        <v>25356.948228882822</v>
      </c>
      <c r="AJ204" s="44">
        <f t="shared" si="65"/>
        <v>57.444444444444443</v>
      </c>
      <c r="AK204" s="45">
        <f t="shared" si="58"/>
        <v>35517.794970986455</v>
      </c>
      <c r="AL204" s="45">
        <f t="shared" si="59"/>
        <v>19317.794970986462</v>
      </c>
      <c r="AM204" s="45">
        <f t="shared" si="60"/>
        <v>16199.999999999993</v>
      </c>
      <c r="AN204" s="23">
        <f t="shared" si="61"/>
        <v>1.5652437178322736</v>
      </c>
      <c r="AP204" s="20" t="e">
        <f>IF(AH204/S204&lt;#REF!,AH204,0)</f>
        <v>#REF!</v>
      </c>
      <c r="AQ204" s="11" t="e">
        <f>IF(AP204&gt;0,(#REF!*S204-AP204)*AE204/1000*1.302*4,0)</f>
        <v>#REF!</v>
      </c>
    </row>
    <row r="205" spans="1:43" x14ac:dyDescent="0.25">
      <c r="A205" s="8" t="s">
        <v>276</v>
      </c>
      <c r="B205" s="30">
        <v>40</v>
      </c>
      <c r="C205" s="8">
        <v>364</v>
      </c>
      <c r="D205" s="8">
        <v>447</v>
      </c>
      <c r="E205" s="8">
        <v>65</v>
      </c>
      <c r="F205" s="8">
        <f t="shared" si="45"/>
        <v>876</v>
      </c>
      <c r="J205" s="8">
        <f t="shared" si="46"/>
        <v>0</v>
      </c>
      <c r="K205" s="8">
        <v>3</v>
      </c>
      <c r="L205" s="8">
        <v>3</v>
      </c>
      <c r="M205" s="8">
        <v>1</v>
      </c>
      <c r="N205" s="8">
        <f t="shared" si="47"/>
        <v>7</v>
      </c>
      <c r="O205" s="8">
        <v>12</v>
      </c>
      <c r="P205" s="8">
        <v>16</v>
      </c>
      <c r="Q205" s="8">
        <v>2</v>
      </c>
      <c r="R205" s="8">
        <f t="shared" si="48"/>
        <v>30</v>
      </c>
      <c r="S205" s="31">
        <v>1.5</v>
      </c>
      <c r="T205" s="30">
        <v>1</v>
      </c>
      <c r="U205" s="66">
        <f>IF(A205='Свод по районам'!$A$28,'Свод по районам'!$G$28,0)</f>
        <v>1.5375864844115965</v>
      </c>
      <c r="V205" s="30">
        <f t="shared" si="64"/>
        <v>2075.6999999999998</v>
      </c>
      <c r="W205" s="12">
        <f t="shared" si="62"/>
        <v>1388.4749999999999</v>
      </c>
      <c r="X205" s="11">
        <v>1031.5999999999999</v>
      </c>
      <c r="Y205" s="17">
        <f t="shared" si="49"/>
        <v>1044.0999999999999</v>
      </c>
      <c r="Z205" s="17">
        <f t="shared" si="50"/>
        <v>1044.0999999999999</v>
      </c>
      <c r="AA205" s="17">
        <f t="shared" si="51"/>
        <v>0</v>
      </c>
      <c r="AB205" s="20">
        <f t="shared" si="52"/>
        <v>356.875</v>
      </c>
      <c r="AC205" s="17">
        <f t="shared" si="53"/>
        <v>356.875</v>
      </c>
      <c r="AD205" s="17">
        <f t="shared" si="54"/>
        <v>0</v>
      </c>
      <c r="AE205" s="29">
        <v>33</v>
      </c>
      <c r="AF205" s="28">
        <f t="shared" si="55"/>
        <v>62899.999999999993</v>
      </c>
      <c r="AG205" s="28">
        <f t="shared" si="63"/>
        <v>42074.999999999993</v>
      </c>
      <c r="AH205" s="28">
        <f t="shared" si="56"/>
        <v>31260.606060606056</v>
      </c>
      <c r="AI205" s="42">
        <f t="shared" si="57"/>
        <v>31639.393939393936</v>
      </c>
      <c r="AJ205" s="44">
        <f t="shared" si="65"/>
        <v>49.333333333333329</v>
      </c>
      <c r="AK205" s="45">
        <f t="shared" si="58"/>
        <v>42075</v>
      </c>
      <c r="AL205" s="45">
        <f t="shared" si="59"/>
        <v>20910.810810810814</v>
      </c>
      <c r="AM205" s="45">
        <f t="shared" si="60"/>
        <v>21164.189189189186</v>
      </c>
      <c r="AN205" s="23">
        <f t="shared" si="61"/>
        <v>1.4949494949494948</v>
      </c>
      <c r="AP205" s="20" t="e">
        <f>IF(AH205/S205&lt;#REF!,AH205,0)</f>
        <v>#REF!</v>
      </c>
      <c r="AQ205" s="11" t="e">
        <f>IF(AP205&gt;0,(#REF!*S205-AP205)*AE205/1000*1.302*4,0)</f>
        <v>#REF!</v>
      </c>
    </row>
    <row r="206" spans="1:43" x14ac:dyDescent="0.25">
      <c r="A206" s="8" t="s">
        <v>276</v>
      </c>
      <c r="B206" s="30">
        <v>48</v>
      </c>
      <c r="C206" s="8">
        <v>426</v>
      </c>
      <c r="D206" s="8">
        <v>392</v>
      </c>
      <c r="E206" s="8">
        <v>49</v>
      </c>
      <c r="F206" s="8">
        <f t="shared" si="45"/>
        <v>867</v>
      </c>
      <c r="J206" s="8">
        <f t="shared" si="46"/>
        <v>0</v>
      </c>
      <c r="K206" s="8">
        <v>3</v>
      </c>
      <c r="L206" s="8">
        <v>1</v>
      </c>
      <c r="M206" s="8">
        <v>0</v>
      </c>
      <c r="N206" s="8">
        <f t="shared" si="47"/>
        <v>4</v>
      </c>
      <c r="O206" s="8">
        <v>15</v>
      </c>
      <c r="P206" s="8">
        <v>15</v>
      </c>
      <c r="Q206" s="8">
        <v>2</v>
      </c>
      <c r="R206" s="8">
        <f t="shared" si="48"/>
        <v>32</v>
      </c>
      <c r="S206" s="31">
        <v>1.5</v>
      </c>
      <c r="T206" s="30">
        <v>1</v>
      </c>
      <c r="U206" s="66">
        <f>IF(A206='Свод по районам'!$A$28,'Свод по районам'!$G$28,0)</f>
        <v>1.5375864844115965</v>
      </c>
      <c r="V206" s="30">
        <f t="shared" si="64"/>
        <v>1973.3</v>
      </c>
      <c r="W206" s="12">
        <f t="shared" si="62"/>
        <v>1252.9497087378641</v>
      </c>
      <c r="X206" s="11">
        <v>1025.2000000000003</v>
      </c>
      <c r="Y206" s="17">
        <f t="shared" si="49"/>
        <v>948.09999999999968</v>
      </c>
      <c r="Z206" s="17">
        <f t="shared" si="50"/>
        <v>948.09999999999968</v>
      </c>
      <c r="AA206" s="17">
        <f t="shared" si="51"/>
        <v>0</v>
      </c>
      <c r="AB206" s="20">
        <f t="shared" si="52"/>
        <v>227.74970873786378</v>
      </c>
      <c r="AC206" s="17">
        <f t="shared" si="53"/>
        <v>227.74970873786378</v>
      </c>
      <c r="AD206" s="17">
        <f t="shared" si="54"/>
        <v>0</v>
      </c>
      <c r="AE206" s="29">
        <v>32.700000000000003</v>
      </c>
      <c r="AF206" s="28">
        <f t="shared" si="55"/>
        <v>60345.565749235466</v>
      </c>
      <c r="AG206" s="28">
        <f t="shared" si="63"/>
        <v>38316.504854368926</v>
      </c>
      <c r="AH206" s="28">
        <f t="shared" si="56"/>
        <v>31351.681957186549</v>
      </c>
      <c r="AI206" s="42">
        <f t="shared" si="57"/>
        <v>28993.883792048917</v>
      </c>
      <c r="AJ206" s="44">
        <f t="shared" ref="AJ206:AJ223" si="66">(O206*$E$10+P206*$E$11+Q206*$E$12)+(G206*$S$10+H206*$S$11+I206*$S$12)</f>
        <v>51.5</v>
      </c>
      <c r="AK206" s="45">
        <f t="shared" si="58"/>
        <v>38316.504854368926</v>
      </c>
      <c r="AL206" s="45">
        <f t="shared" si="59"/>
        <v>19906.796116504862</v>
      </c>
      <c r="AM206" s="45">
        <f t="shared" si="60"/>
        <v>18409.708737864064</v>
      </c>
      <c r="AN206" s="23">
        <f t="shared" si="61"/>
        <v>1.5749235474006116</v>
      </c>
      <c r="AP206" s="20" t="e">
        <f>IF(AH206/S206&lt;#REF!,AH206,0)</f>
        <v>#REF!</v>
      </c>
      <c r="AQ206" s="11" t="e">
        <f>IF(AP206&gt;0,(#REF!*S206-AP206)*AE206/1000*1.302*4,0)</f>
        <v>#REF!</v>
      </c>
    </row>
    <row r="207" spans="1:43" x14ac:dyDescent="0.25">
      <c r="A207" s="8" t="s">
        <v>276</v>
      </c>
      <c r="B207" s="30">
        <v>12</v>
      </c>
      <c r="C207" s="8">
        <v>380</v>
      </c>
      <c r="D207" s="8">
        <v>415</v>
      </c>
      <c r="E207" s="8">
        <v>50</v>
      </c>
      <c r="F207" s="8">
        <f t="shared" si="45"/>
        <v>845</v>
      </c>
      <c r="J207" s="8">
        <f t="shared" si="46"/>
        <v>0</v>
      </c>
      <c r="K207" s="8">
        <v>6</v>
      </c>
      <c r="L207" s="8">
        <v>5</v>
      </c>
      <c r="M207" s="8">
        <v>0</v>
      </c>
      <c r="N207" s="8">
        <f t="shared" si="47"/>
        <v>11</v>
      </c>
      <c r="O207" s="8">
        <v>12</v>
      </c>
      <c r="P207" s="8">
        <v>15</v>
      </c>
      <c r="Q207" s="8">
        <v>2</v>
      </c>
      <c r="R207" s="8">
        <f t="shared" si="48"/>
        <v>29</v>
      </c>
      <c r="S207" s="31">
        <v>1.5</v>
      </c>
      <c r="T207" s="30">
        <v>1</v>
      </c>
      <c r="U207" s="66">
        <f>IF(A207='Свод по районам'!$A$28,'Свод по районам'!$G$28,0)</f>
        <v>1.5375864844115965</v>
      </c>
      <c r="V207" s="30">
        <f t="shared" si="64"/>
        <v>1960.1</v>
      </c>
      <c r="W207" s="12">
        <f t="shared" si="62"/>
        <v>1407.1454736842106</v>
      </c>
      <c r="X207" s="11">
        <v>1019.0000000000001</v>
      </c>
      <c r="Y207" s="17">
        <f t="shared" si="49"/>
        <v>941.0999999999998</v>
      </c>
      <c r="Z207" s="17">
        <f t="shared" si="50"/>
        <v>941.0999999999998</v>
      </c>
      <c r="AA207" s="17">
        <f t="shared" si="51"/>
        <v>0</v>
      </c>
      <c r="AB207" s="20">
        <f t="shared" si="52"/>
        <v>388.14547368421051</v>
      </c>
      <c r="AC207" s="17">
        <f t="shared" si="53"/>
        <v>388.14547368421051</v>
      </c>
      <c r="AD207" s="17">
        <f t="shared" si="54"/>
        <v>0</v>
      </c>
      <c r="AE207" s="29">
        <v>34.1</v>
      </c>
      <c r="AF207" s="28">
        <f t="shared" si="55"/>
        <v>57480.938416422287</v>
      </c>
      <c r="AG207" s="28">
        <f t="shared" si="63"/>
        <v>41265.263157894733</v>
      </c>
      <c r="AH207" s="28">
        <f t="shared" si="56"/>
        <v>29882.697947214081</v>
      </c>
      <c r="AI207" s="42">
        <f t="shared" si="57"/>
        <v>27598.240469208205</v>
      </c>
      <c r="AJ207" s="44">
        <f t="shared" si="66"/>
        <v>47.5</v>
      </c>
      <c r="AK207" s="45">
        <f t="shared" si="58"/>
        <v>41265.263157894733</v>
      </c>
      <c r="AL207" s="45">
        <f t="shared" si="59"/>
        <v>21452.631578947374</v>
      </c>
      <c r="AM207" s="45">
        <f t="shared" si="60"/>
        <v>19812.631578947359</v>
      </c>
      <c r="AN207" s="23">
        <f t="shared" si="61"/>
        <v>1.3929618768328444</v>
      </c>
      <c r="AP207" s="20" t="e">
        <f>IF(AH207/S207&lt;#REF!,AH207,0)</f>
        <v>#REF!</v>
      </c>
      <c r="AQ207" s="11" t="e">
        <f>IF(AP207&gt;0,(#REF!*S207-AP207)*AE207/1000*1.302*4,0)</f>
        <v>#REF!</v>
      </c>
    </row>
    <row r="208" spans="1:43" x14ac:dyDescent="0.25">
      <c r="A208" s="8" t="s">
        <v>276</v>
      </c>
      <c r="B208" s="30">
        <v>55</v>
      </c>
      <c r="C208" s="8">
        <v>386</v>
      </c>
      <c r="D208" s="8">
        <v>387</v>
      </c>
      <c r="E208" s="8">
        <v>40</v>
      </c>
      <c r="F208" s="8">
        <f t="shared" ref="F208:F223" si="67">SUM(C208:E208)</f>
        <v>813</v>
      </c>
      <c r="J208" s="8">
        <f t="shared" ref="J208:J223" si="68">SUM(G208:I208)</f>
        <v>0</v>
      </c>
      <c r="K208" s="8">
        <v>9</v>
      </c>
      <c r="L208" s="8">
        <v>4</v>
      </c>
      <c r="M208" s="8">
        <v>0</v>
      </c>
      <c r="N208" s="8">
        <f t="shared" ref="N208:N223" si="69">SUM(K208:M208)</f>
        <v>13</v>
      </c>
      <c r="O208" s="8">
        <v>13</v>
      </c>
      <c r="P208" s="8">
        <v>13</v>
      </c>
      <c r="Q208" s="8">
        <v>2</v>
      </c>
      <c r="R208" s="8">
        <f t="shared" ref="R208:R223" si="70">SUM(O208:Q208)</f>
        <v>28</v>
      </c>
      <c r="S208" s="31">
        <v>1.5</v>
      </c>
      <c r="T208" s="30">
        <v>1</v>
      </c>
      <c r="U208" s="66">
        <f>IF(A208='Свод по районам'!$A$28,'Свод по районам'!$G$28,0)</f>
        <v>1.5375864844115965</v>
      </c>
      <c r="V208" s="30">
        <f t="shared" si="64"/>
        <v>1857.1</v>
      </c>
      <c r="W208" s="12">
        <f t="shared" si="62"/>
        <v>986.79852398523985</v>
      </c>
      <c r="X208" s="11">
        <v>932.19999999999993</v>
      </c>
      <c r="Y208" s="17">
        <f t="shared" ref="Y208:Y223" si="71">V208-X208</f>
        <v>924.9</v>
      </c>
      <c r="Z208" s="17">
        <f t="shared" ref="Z208:Z223" si="72">IF(Y208&gt;0,Y208,0)</f>
        <v>924.9</v>
      </c>
      <c r="AA208" s="17">
        <f t="shared" ref="AA208:AA223" si="73">IF(Y208&lt;0,Y208,0)</f>
        <v>0</v>
      </c>
      <c r="AB208" s="20">
        <f t="shared" ref="AB208:AB223" si="74">W208-X208</f>
        <v>54.598523985239922</v>
      </c>
      <c r="AC208" s="17">
        <f t="shared" ref="AC208:AC223" si="75">IF(AB208&gt;0,AB208,0)</f>
        <v>54.598523985239922</v>
      </c>
      <c r="AD208" s="17">
        <f t="shared" ref="AD208:AD223" si="76">IF(AB208&lt;0,AB208,0)</f>
        <v>0</v>
      </c>
      <c r="AE208" s="29">
        <v>24</v>
      </c>
      <c r="AF208" s="28">
        <f t="shared" ref="AF208:AF224" si="77">V208/AE208*1000</f>
        <v>77379.166666666657</v>
      </c>
      <c r="AG208" s="28">
        <f t="shared" si="63"/>
        <v>41116.60516605166</v>
      </c>
      <c r="AH208" s="28">
        <f t="shared" ref="AH208:AH224" si="78">X208/AE208*1000</f>
        <v>38841.666666666664</v>
      </c>
      <c r="AI208" s="42">
        <f t="shared" ref="AI208:AI224" si="79">AF208-AH208</f>
        <v>38537.499999999993</v>
      </c>
      <c r="AJ208" s="44">
        <f t="shared" si="66"/>
        <v>45.166666666666664</v>
      </c>
      <c r="AK208" s="45">
        <f t="shared" ref="AK208:AK223" si="80">V208/AJ208*1000</f>
        <v>41116.60516605166</v>
      </c>
      <c r="AL208" s="45">
        <f t="shared" ref="AL208:AL224" si="81">X208/AJ208*1000</f>
        <v>20639.11439114391</v>
      </c>
      <c r="AM208" s="45">
        <f t="shared" ref="AM208:AM224" si="82">AK208-AL208</f>
        <v>20477.49077490775</v>
      </c>
      <c r="AN208" s="23">
        <f t="shared" ref="AN208:AN224" si="83">AJ208/AE208</f>
        <v>1.8819444444444444</v>
      </c>
      <c r="AP208" s="20" t="e">
        <f>IF(AH208/S208&lt;#REF!,AH208,0)</f>
        <v>#REF!</v>
      </c>
      <c r="AQ208" s="11" t="e">
        <f>IF(AP208&gt;0,(#REF!*S208-AP208)*AE208/1000*1.302*4,0)</f>
        <v>#REF!</v>
      </c>
    </row>
    <row r="209" spans="1:43" x14ac:dyDescent="0.25">
      <c r="A209" s="8" t="s">
        <v>276</v>
      </c>
      <c r="B209" s="30">
        <v>52</v>
      </c>
      <c r="C209" s="8">
        <v>345</v>
      </c>
      <c r="D209" s="8">
        <v>375</v>
      </c>
      <c r="E209" s="8">
        <v>44</v>
      </c>
      <c r="F209" s="8">
        <f t="shared" si="67"/>
        <v>764</v>
      </c>
      <c r="J209" s="8">
        <f t="shared" si="68"/>
        <v>0</v>
      </c>
      <c r="K209" s="8">
        <v>6</v>
      </c>
      <c r="L209" s="8">
        <v>6</v>
      </c>
      <c r="M209" s="8">
        <v>0</v>
      </c>
      <c r="N209" s="8">
        <f t="shared" si="69"/>
        <v>12</v>
      </c>
      <c r="O209" s="8">
        <v>14</v>
      </c>
      <c r="P209" s="8">
        <v>14</v>
      </c>
      <c r="Q209" s="8">
        <v>2</v>
      </c>
      <c r="R209" s="8">
        <f t="shared" si="70"/>
        <v>30</v>
      </c>
      <c r="S209" s="31">
        <v>1.5</v>
      </c>
      <c r="T209" s="30">
        <v>1</v>
      </c>
      <c r="U209" s="66">
        <f>IF(A209='Свод по районам'!$A$28,'Свод по районам'!$G$28,0)</f>
        <v>1.5375864844115965</v>
      </c>
      <c r="V209" s="30">
        <f t="shared" si="64"/>
        <v>1770.2</v>
      </c>
      <c r="W209" s="12">
        <f t="shared" ref="W209:W223" si="84">V209/AN209</f>
        <v>1252.5691034482761</v>
      </c>
      <c r="X209" s="11">
        <v>979</v>
      </c>
      <c r="Y209" s="17">
        <f t="shared" si="71"/>
        <v>791.2</v>
      </c>
      <c r="Z209" s="17">
        <f t="shared" si="72"/>
        <v>791.2</v>
      </c>
      <c r="AA209" s="17">
        <f t="shared" si="73"/>
        <v>0</v>
      </c>
      <c r="AB209" s="20">
        <f t="shared" si="74"/>
        <v>273.56910344827611</v>
      </c>
      <c r="AC209" s="17">
        <f t="shared" si="75"/>
        <v>273.56910344827611</v>
      </c>
      <c r="AD209" s="17">
        <f t="shared" si="76"/>
        <v>0</v>
      </c>
      <c r="AE209" s="29">
        <v>34.200000000000003</v>
      </c>
      <c r="AF209" s="28">
        <f t="shared" si="77"/>
        <v>51760.233918128659</v>
      </c>
      <c r="AG209" s="28">
        <f t="shared" ref="AG209:AG224" si="85">W209/AE209*1000</f>
        <v>36624.827586206899</v>
      </c>
      <c r="AH209" s="28">
        <f t="shared" si="78"/>
        <v>28625.730994152043</v>
      </c>
      <c r="AI209" s="42">
        <f t="shared" si="79"/>
        <v>23134.502923976615</v>
      </c>
      <c r="AJ209" s="44">
        <f t="shared" si="66"/>
        <v>48.333333333333329</v>
      </c>
      <c r="AK209" s="45">
        <f t="shared" si="80"/>
        <v>36624.827586206899</v>
      </c>
      <c r="AL209" s="45">
        <f t="shared" si="81"/>
        <v>20255.172413793105</v>
      </c>
      <c r="AM209" s="45">
        <f t="shared" si="82"/>
        <v>16369.655172413793</v>
      </c>
      <c r="AN209" s="23">
        <f t="shared" si="83"/>
        <v>1.4132553606237814</v>
      </c>
      <c r="AP209" s="20" t="e">
        <f>IF(AH209/S209&lt;#REF!,AH209,0)</f>
        <v>#REF!</v>
      </c>
      <c r="AQ209" s="11" t="e">
        <f>IF(AP209&gt;0,(#REF!*S209-AP209)*AE209/1000*1.302*4,0)</f>
        <v>#REF!</v>
      </c>
    </row>
    <row r="210" spans="1:43" x14ac:dyDescent="0.25">
      <c r="A210" s="8" t="s">
        <v>276</v>
      </c>
      <c r="B210" s="30">
        <v>36</v>
      </c>
      <c r="C210" s="8">
        <v>330</v>
      </c>
      <c r="D210" s="8">
        <v>364</v>
      </c>
      <c r="E210" s="8">
        <v>51</v>
      </c>
      <c r="F210" s="8">
        <f t="shared" si="67"/>
        <v>745</v>
      </c>
      <c r="J210" s="8">
        <f t="shared" si="68"/>
        <v>0</v>
      </c>
      <c r="K210" s="8">
        <v>1</v>
      </c>
      <c r="L210" s="8">
        <v>4</v>
      </c>
      <c r="M210" s="8">
        <v>1</v>
      </c>
      <c r="N210" s="8">
        <f t="shared" si="69"/>
        <v>6</v>
      </c>
      <c r="O210" s="8">
        <v>12</v>
      </c>
      <c r="P210" s="8">
        <v>12</v>
      </c>
      <c r="Q210" s="8">
        <v>2</v>
      </c>
      <c r="R210" s="8">
        <f t="shared" si="70"/>
        <v>26</v>
      </c>
      <c r="S210" s="31">
        <v>1.5</v>
      </c>
      <c r="T210" s="30">
        <v>1</v>
      </c>
      <c r="U210" s="66">
        <f>IF(A210='Свод по районам'!$A$28,'Свод по районам'!$G$28,0)</f>
        <v>1.5375864844115965</v>
      </c>
      <c r="V210" s="30">
        <f t="shared" ref="V210:V223" si="86">ROUND((((C210-G210)*$K$10+(D210-H210)*$K$11+(E210-I210)*$K$12)+(G210*$X$10+H210*$X$11+I210*$X$12)+(K210*$K$10*0.2+L210*$K$11*0.2+M210*$K$12*0.2))*T210*S210/1.302/12,1)</f>
        <v>1741.7</v>
      </c>
      <c r="W210" s="12">
        <f t="shared" si="84"/>
        <v>999.40404761904779</v>
      </c>
      <c r="X210" s="11">
        <v>919.1</v>
      </c>
      <c r="Y210" s="17">
        <f t="shared" si="71"/>
        <v>822.6</v>
      </c>
      <c r="Z210" s="17">
        <f t="shared" si="72"/>
        <v>822.6</v>
      </c>
      <c r="AA210" s="17">
        <f t="shared" si="73"/>
        <v>0</v>
      </c>
      <c r="AB210" s="20">
        <f t="shared" si="74"/>
        <v>80.304047619047765</v>
      </c>
      <c r="AC210" s="17">
        <f t="shared" si="75"/>
        <v>80.304047619047765</v>
      </c>
      <c r="AD210" s="17">
        <f t="shared" si="76"/>
        <v>0</v>
      </c>
      <c r="AE210" s="29">
        <v>24.1</v>
      </c>
      <c r="AF210" s="28">
        <f t="shared" si="77"/>
        <v>72269.709543568461</v>
      </c>
      <c r="AG210" s="28">
        <f t="shared" si="85"/>
        <v>41469.047619047618</v>
      </c>
      <c r="AH210" s="28">
        <f t="shared" si="78"/>
        <v>38136.929460580912</v>
      </c>
      <c r="AI210" s="42">
        <f t="shared" si="79"/>
        <v>34132.780082987549</v>
      </c>
      <c r="AJ210" s="44">
        <f t="shared" si="66"/>
        <v>42</v>
      </c>
      <c r="AK210" s="45">
        <f t="shared" si="80"/>
        <v>41469.047619047618</v>
      </c>
      <c r="AL210" s="45">
        <f t="shared" si="81"/>
        <v>21883.333333333332</v>
      </c>
      <c r="AM210" s="45">
        <f t="shared" si="82"/>
        <v>19585.714285714286</v>
      </c>
      <c r="AN210" s="23">
        <f t="shared" si="83"/>
        <v>1.7427385892116181</v>
      </c>
      <c r="AP210" s="20" t="e">
        <f>IF(AH210/S210&lt;#REF!,AH210,0)</f>
        <v>#REF!</v>
      </c>
      <c r="AQ210" s="11" t="e">
        <f>IF(AP210&gt;0,(#REF!*S210-AP210)*AE210/1000*1.302*4,0)</f>
        <v>#REF!</v>
      </c>
    </row>
    <row r="211" spans="1:43" x14ac:dyDescent="0.25">
      <c r="A211" s="8" t="s">
        <v>276</v>
      </c>
      <c r="B211" s="30">
        <v>41</v>
      </c>
      <c r="C211" s="8">
        <v>309</v>
      </c>
      <c r="D211" s="8">
        <v>323</v>
      </c>
      <c r="E211" s="8">
        <v>30</v>
      </c>
      <c r="F211" s="8">
        <f t="shared" si="67"/>
        <v>662</v>
      </c>
      <c r="J211" s="8">
        <f t="shared" si="68"/>
        <v>0</v>
      </c>
      <c r="K211" s="8">
        <v>1</v>
      </c>
      <c r="L211" s="8">
        <v>3</v>
      </c>
      <c r="M211" s="8">
        <v>1</v>
      </c>
      <c r="N211" s="8">
        <f t="shared" si="69"/>
        <v>5</v>
      </c>
      <c r="O211" s="8">
        <v>12</v>
      </c>
      <c r="P211" s="8">
        <v>13</v>
      </c>
      <c r="Q211" s="8">
        <v>2</v>
      </c>
      <c r="R211" s="8">
        <f t="shared" si="70"/>
        <v>27</v>
      </c>
      <c r="S211" s="31">
        <v>1.5</v>
      </c>
      <c r="T211" s="30">
        <v>1</v>
      </c>
      <c r="U211" s="66">
        <f>IF(A211='Свод по районам'!$A$28,'Свод по районам'!$G$28,0)</f>
        <v>1.5375864844115965</v>
      </c>
      <c r="V211" s="30">
        <f t="shared" si="86"/>
        <v>1511.5</v>
      </c>
      <c r="W211" s="12">
        <f t="shared" si="84"/>
        <v>965.52091254752861</v>
      </c>
      <c r="X211" s="11">
        <v>833.3</v>
      </c>
      <c r="Y211" s="17">
        <f t="shared" si="71"/>
        <v>678.2</v>
      </c>
      <c r="Z211" s="17">
        <f t="shared" si="72"/>
        <v>678.2</v>
      </c>
      <c r="AA211" s="17">
        <f t="shared" si="73"/>
        <v>0</v>
      </c>
      <c r="AB211" s="20">
        <f t="shared" si="74"/>
        <v>132.22091254752866</v>
      </c>
      <c r="AC211" s="17">
        <f t="shared" si="75"/>
        <v>132.22091254752866</v>
      </c>
      <c r="AD211" s="17">
        <f t="shared" si="76"/>
        <v>0</v>
      </c>
      <c r="AE211" s="29">
        <v>28</v>
      </c>
      <c r="AF211" s="28">
        <f t="shared" si="77"/>
        <v>53982.142857142855</v>
      </c>
      <c r="AG211" s="28">
        <f t="shared" si="85"/>
        <v>34482.889733840311</v>
      </c>
      <c r="AH211" s="28">
        <f t="shared" si="78"/>
        <v>29760.714285714283</v>
      </c>
      <c r="AI211" s="42">
        <f t="shared" si="79"/>
        <v>24221.428571428572</v>
      </c>
      <c r="AJ211" s="44">
        <f t="shared" si="66"/>
        <v>43.833333333333329</v>
      </c>
      <c r="AK211" s="45">
        <f t="shared" si="80"/>
        <v>34482.889733840311</v>
      </c>
      <c r="AL211" s="45">
        <f t="shared" si="81"/>
        <v>19010.646387832701</v>
      </c>
      <c r="AM211" s="45">
        <f t="shared" si="82"/>
        <v>15472.24334600761</v>
      </c>
      <c r="AN211" s="23">
        <f t="shared" si="83"/>
        <v>1.5654761904761902</v>
      </c>
      <c r="AP211" s="20" t="e">
        <f>IF(AH211/S211&lt;#REF!,AH211,0)</f>
        <v>#REF!</v>
      </c>
      <c r="AQ211" s="11" t="e">
        <f>IF(AP211&gt;0,(#REF!*S211-AP211)*AE211/1000*1.302*4,0)</f>
        <v>#REF!</v>
      </c>
    </row>
    <row r="212" spans="1:43" x14ac:dyDescent="0.25">
      <c r="A212" s="8" t="s">
        <v>276</v>
      </c>
      <c r="B212" s="30">
        <v>50</v>
      </c>
      <c r="C212" s="8">
        <v>287</v>
      </c>
      <c r="D212" s="8">
        <v>325</v>
      </c>
      <c r="E212" s="8">
        <v>37</v>
      </c>
      <c r="F212" s="8">
        <f t="shared" si="67"/>
        <v>649</v>
      </c>
      <c r="J212" s="8">
        <f t="shared" si="68"/>
        <v>0</v>
      </c>
      <c r="K212" s="8">
        <v>6</v>
      </c>
      <c r="L212" s="8">
        <v>5</v>
      </c>
      <c r="M212" s="8">
        <v>2</v>
      </c>
      <c r="N212" s="8">
        <f t="shared" si="69"/>
        <v>13</v>
      </c>
      <c r="O212" s="8">
        <v>11</v>
      </c>
      <c r="P212" s="8">
        <v>13</v>
      </c>
      <c r="Q212" s="8">
        <v>2</v>
      </c>
      <c r="R212" s="8">
        <f t="shared" si="70"/>
        <v>26</v>
      </c>
      <c r="S212" s="31">
        <v>1.5</v>
      </c>
      <c r="T212" s="30">
        <v>1</v>
      </c>
      <c r="U212" s="66">
        <f>IF(A212='Свод по районам'!$A$28,'Свод по районам'!$G$28,0)</f>
        <v>1.5375864844115965</v>
      </c>
      <c r="V212" s="30">
        <f t="shared" si="86"/>
        <v>1510.3</v>
      </c>
      <c r="W212" s="12">
        <f t="shared" si="84"/>
        <v>959.48470588235284</v>
      </c>
      <c r="X212" s="11">
        <v>783.30000000000007</v>
      </c>
      <c r="Y212" s="17">
        <f t="shared" si="71"/>
        <v>726.99999999999989</v>
      </c>
      <c r="Z212" s="17">
        <f t="shared" si="72"/>
        <v>726.99999999999989</v>
      </c>
      <c r="AA212" s="17">
        <f t="shared" si="73"/>
        <v>0</v>
      </c>
      <c r="AB212" s="20">
        <f t="shared" si="74"/>
        <v>176.18470588235277</v>
      </c>
      <c r="AC212" s="17">
        <f t="shared" si="75"/>
        <v>176.18470588235277</v>
      </c>
      <c r="AD212" s="17">
        <f t="shared" si="76"/>
        <v>0</v>
      </c>
      <c r="AE212" s="29">
        <v>27</v>
      </c>
      <c r="AF212" s="28">
        <f t="shared" si="77"/>
        <v>55937.037037037036</v>
      </c>
      <c r="AG212" s="28">
        <f t="shared" si="85"/>
        <v>35536.470588235286</v>
      </c>
      <c r="AH212" s="28">
        <f t="shared" si="78"/>
        <v>29011.111111111113</v>
      </c>
      <c r="AI212" s="42">
        <f t="shared" si="79"/>
        <v>26925.925925925923</v>
      </c>
      <c r="AJ212" s="44">
        <f t="shared" si="66"/>
        <v>42.5</v>
      </c>
      <c r="AK212" s="45">
        <f t="shared" si="80"/>
        <v>35536.470588235294</v>
      </c>
      <c r="AL212" s="45">
        <f t="shared" si="81"/>
        <v>18430.588235294119</v>
      </c>
      <c r="AM212" s="45">
        <f t="shared" si="82"/>
        <v>17105.882352941175</v>
      </c>
      <c r="AN212" s="23">
        <f t="shared" si="83"/>
        <v>1.5740740740740742</v>
      </c>
      <c r="AP212" s="20" t="e">
        <f>IF(AH212/S212&lt;#REF!,AH212,0)</f>
        <v>#REF!</v>
      </c>
      <c r="AQ212" s="11" t="e">
        <f>IF(AP212&gt;0,(#REF!*S212-AP212)*AE212/1000*1.302*4,0)</f>
        <v>#REF!</v>
      </c>
    </row>
    <row r="213" spans="1:43" x14ac:dyDescent="0.25">
      <c r="A213" s="8" t="s">
        <v>276</v>
      </c>
      <c r="B213" s="30" t="s">
        <v>432</v>
      </c>
      <c r="C213" s="8">
        <v>316</v>
      </c>
      <c r="D213" s="8">
        <v>292</v>
      </c>
      <c r="E213" s="8">
        <v>33</v>
      </c>
      <c r="F213" s="8">
        <f t="shared" si="67"/>
        <v>641</v>
      </c>
      <c r="J213" s="8">
        <f t="shared" si="68"/>
        <v>0</v>
      </c>
      <c r="K213" s="8">
        <v>7</v>
      </c>
      <c r="L213" s="8">
        <v>2</v>
      </c>
      <c r="M213" s="8">
        <v>0</v>
      </c>
      <c r="N213" s="8">
        <f t="shared" si="69"/>
        <v>9</v>
      </c>
      <c r="O213" s="8">
        <v>12</v>
      </c>
      <c r="P213" s="8">
        <v>12</v>
      </c>
      <c r="Q213" s="8">
        <v>2</v>
      </c>
      <c r="R213" s="8">
        <f t="shared" si="70"/>
        <v>26</v>
      </c>
      <c r="S213" s="31">
        <v>1.5</v>
      </c>
      <c r="T213" s="30">
        <v>1</v>
      </c>
      <c r="U213" s="66">
        <f>IF(A213='Свод по районам'!$A$28,'Свод по районам'!$G$28,0)</f>
        <v>1.5375864844115965</v>
      </c>
      <c r="V213" s="30">
        <f t="shared" si="86"/>
        <v>1455.6</v>
      </c>
      <c r="W213" s="12">
        <f t="shared" si="84"/>
        <v>894.15428571428561</v>
      </c>
      <c r="X213" s="11">
        <v>776.19999999999993</v>
      </c>
      <c r="Y213" s="17">
        <f t="shared" si="71"/>
        <v>679.4</v>
      </c>
      <c r="Z213" s="17">
        <f t="shared" si="72"/>
        <v>679.4</v>
      </c>
      <c r="AA213" s="17">
        <f t="shared" si="73"/>
        <v>0</v>
      </c>
      <c r="AB213" s="20">
        <f t="shared" si="74"/>
        <v>117.95428571428567</v>
      </c>
      <c r="AC213" s="17">
        <f t="shared" si="75"/>
        <v>117.95428571428567</v>
      </c>
      <c r="AD213" s="17">
        <f t="shared" si="76"/>
        <v>0</v>
      </c>
      <c r="AE213" s="29">
        <v>25.8</v>
      </c>
      <c r="AF213" s="28">
        <f t="shared" si="77"/>
        <v>56418.604651162786</v>
      </c>
      <c r="AG213" s="28">
        <f t="shared" si="85"/>
        <v>34657.142857142848</v>
      </c>
      <c r="AH213" s="28">
        <f t="shared" si="78"/>
        <v>30085.271317829451</v>
      </c>
      <c r="AI213" s="42">
        <f t="shared" si="79"/>
        <v>26333.333333333336</v>
      </c>
      <c r="AJ213" s="44">
        <f t="shared" si="66"/>
        <v>42</v>
      </c>
      <c r="AK213" s="45">
        <f t="shared" si="80"/>
        <v>34657.142857142855</v>
      </c>
      <c r="AL213" s="45">
        <f t="shared" si="81"/>
        <v>18480.952380952382</v>
      </c>
      <c r="AM213" s="45">
        <f t="shared" si="82"/>
        <v>16176.190476190473</v>
      </c>
      <c r="AN213" s="23">
        <f t="shared" si="83"/>
        <v>1.6279069767441861</v>
      </c>
      <c r="AP213" s="20" t="e">
        <f>IF(AH213/S213&lt;#REF!,AH213,0)</f>
        <v>#REF!</v>
      </c>
      <c r="AQ213" s="11" t="e">
        <f>IF(AP213&gt;0,(#REF!*S213-AP213)*AE213/1000*1.302*4,0)</f>
        <v>#REF!</v>
      </c>
    </row>
    <row r="214" spans="1:43" x14ac:dyDescent="0.25">
      <c r="A214" s="8" t="s">
        <v>276</v>
      </c>
      <c r="B214" s="30">
        <v>4</v>
      </c>
      <c r="C214" s="8">
        <v>214</v>
      </c>
      <c r="D214" s="8">
        <v>301</v>
      </c>
      <c r="E214" s="8">
        <v>48</v>
      </c>
      <c r="F214" s="8">
        <f t="shared" si="67"/>
        <v>563</v>
      </c>
      <c r="J214" s="8">
        <f t="shared" si="68"/>
        <v>0</v>
      </c>
      <c r="K214" s="8">
        <v>5</v>
      </c>
      <c r="L214" s="8">
        <v>7</v>
      </c>
      <c r="M214" s="8">
        <v>3</v>
      </c>
      <c r="N214" s="8">
        <f t="shared" si="69"/>
        <v>15</v>
      </c>
      <c r="O214" s="8">
        <v>7</v>
      </c>
      <c r="P214" s="8">
        <v>11</v>
      </c>
      <c r="Q214" s="8">
        <v>2</v>
      </c>
      <c r="R214" s="8">
        <f t="shared" si="70"/>
        <v>20</v>
      </c>
      <c r="S214" s="31">
        <v>1.5</v>
      </c>
      <c r="T214" s="30">
        <v>1</v>
      </c>
      <c r="U214" s="66">
        <f>IF(A214='Свод по районам'!$A$28,'Свод по районам'!$G$28,0)</f>
        <v>1.5375864844115965</v>
      </c>
      <c r="V214" s="30">
        <f t="shared" si="86"/>
        <v>1366</v>
      </c>
      <c r="W214" s="12">
        <f t="shared" si="84"/>
        <v>937.85074626865674</v>
      </c>
      <c r="X214" s="11">
        <v>709.80000000000007</v>
      </c>
      <c r="Y214" s="17">
        <f t="shared" si="71"/>
        <v>656.19999999999993</v>
      </c>
      <c r="Z214" s="17">
        <f t="shared" si="72"/>
        <v>656.19999999999993</v>
      </c>
      <c r="AA214" s="17">
        <f t="shared" si="73"/>
        <v>0</v>
      </c>
      <c r="AB214" s="20">
        <f t="shared" si="74"/>
        <v>228.05074626865667</v>
      </c>
      <c r="AC214" s="17">
        <f t="shared" si="75"/>
        <v>228.05074626865667</v>
      </c>
      <c r="AD214" s="17">
        <f t="shared" si="76"/>
        <v>0</v>
      </c>
      <c r="AE214" s="29">
        <v>23</v>
      </c>
      <c r="AF214" s="28">
        <f t="shared" si="77"/>
        <v>59391.304347826088</v>
      </c>
      <c r="AG214" s="28">
        <f t="shared" si="85"/>
        <v>40776.119402985074</v>
      </c>
      <c r="AH214" s="28">
        <f t="shared" si="78"/>
        <v>30860.869565217396</v>
      </c>
      <c r="AI214" s="42">
        <f t="shared" si="79"/>
        <v>28530.434782608692</v>
      </c>
      <c r="AJ214" s="44">
        <f t="shared" si="66"/>
        <v>33.5</v>
      </c>
      <c r="AK214" s="45">
        <f t="shared" si="80"/>
        <v>40776.119402985074</v>
      </c>
      <c r="AL214" s="45">
        <f t="shared" si="81"/>
        <v>21188.059701492537</v>
      </c>
      <c r="AM214" s="45">
        <f t="shared" si="82"/>
        <v>19588.059701492537</v>
      </c>
      <c r="AN214" s="23">
        <f t="shared" si="83"/>
        <v>1.4565217391304348</v>
      </c>
      <c r="AP214" s="20" t="e">
        <f>IF(AH214/S214&lt;#REF!,AH214,0)</f>
        <v>#REF!</v>
      </c>
      <c r="AQ214" s="11" t="e">
        <f>IF(AP214&gt;0,(#REF!*S214-AP214)*AE214/1000*1.302*4,0)</f>
        <v>#REF!</v>
      </c>
    </row>
    <row r="215" spans="1:43" x14ac:dyDescent="0.25">
      <c r="A215" s="8" t="s">
        <v>276</v>
      </c>
      <c r="B215" s="30">
        <v>60</v>
      </c>
      <c r="C215" s="8">
        <v>233</v>
      </c>
      <c r="D215" s="8">
        <v>222</v>
      </c>
      <c r="E215" s="8">
        <v>50</v>
      </c>
      <c r="F215" s="8">
        <f t="shared" si="67"/>
        <v>505</v>
      </c>
      <c r="G215" s="8">
        <v>233</v>
      </c>
      <c r="H215" s="8">
        <v>222</v>
      </c>
      <c r="I215" s="8">
        <v>50</v>
      </c>
      <c r="J215" s="8">
        <f t="shared" si="68"/>
        <v>505</v>
      </c>
      <c r="N215" s="8">
        <f t="shared" si="69"/>
        <v>0</v>
      </c>
      <c r="R215" s="8">
        <f t="shared" si="70"/>
        <v>0</v>
      </c>
      <c r="S215" s="31">
        <v>1.5</v>
      </c>
      <c r="T215" s="30">
        <v>1</v>
      </c>
      <c r="U215" s="66">
        <f>IF(A215='Свод по районам'!$A$28,'Свод по районам'!$G$28,0)</f>
        <v>1.5375864844115965</v>
      </c>
      <c r="V215" s="30">
        <f t="shared" si="86"/>
        <v>5691.1</v>
      </c>
      <c r="W215" s="12">
        <f t="shared" si="84"/>
        <v>2722.8189808397883</v>
      </c>
      <c r="X215" s="11">
        <v>4521.5000000000009</v>
      </c>
      <c r="Y215" s="17">
        <f t="shared" si="71"/>
        <v>1169.5999999999995</v>
      </c>
      <c r="Z215" s="17">
        <f t="shared" si="72"/>
        <v>1169.5999999999995</v>
      </c>
      <c r="AA215" s="17">
        <f t="shared" si="73"/>
        <v>0</v>
      </c>
      <c r="AB215" s="20">
        <f t="shared" si="74"/>
        <v>-1798.6810191602126</v>
      </c>
      <c r="AC215" s="17">
        <f t="shared" si="75"/>
        <v>0</v>
      </c>
      <c r="AD215" s="17">
        <f t="shared" si="76"/>
        <v>-1798.6810191602126</v>
      </c>
      <c r="AE215" s="29">
        <v>130.4</v>
      </c>
      <c r="AF215" s="28">
        <f t="shared" si="77"/>
        <v>43643.404907975462</v>
      </c>
      <c r="AG215" s="28">
        <f t="shared" si="85"/>
        <v>20880.513656746843</v>
      </c>
      <c r="AH215" s="28">
        <f t="shared" si="78"/>
        <v>34674.079754601233</v>
      </c>
      <c r="AI215" s="42">
        <f t="shared" si="79"/>
        <v>8969.3251533742296</v>
      </c>
      <c r="AJ215" s="44">
        <f t="shared" si="66"/>
        <v>272.55555555555554</v>
      </c>
      <c r="AK215" s="45">
        <f t="shared" si="80"/>
        <v>20880.513656746843</v>
      </c>
      <c r="AL215" s="45">
        <f t="shared" si="81"/>
        <v>16589.278434569918</v>
      </c>
      <c r="AM215" s="45">
        <f t="shared" si="82"/>
        <v>4291.2352221769252</v>
      </c>
      <c r="AN215" s="23">
        <f t="shared" si="83"/>
        <v>2.090149965916837</v>
      </c>
      <c r="AP215" s="20" t="e">
        <f>IF(AH215/S215&lt;#REF!,AH215,0)</f>
        <v>#REF!</v>
      </c>
      <c r="AQ215" s="11" t="e">
        <f>IF(AP215&gt;0,(#REF!*S215-AP215)*AE215/1000*1.302*4,0)</f>
        <v>#REF!</v>
      </c>
    </row>
    <row r="216" spans="1:43" x14ac:dyDescent="0.25">
      <c r="A216" s="8" t="s">
        <v>276</v>
      </c>
      <c r="B216" s="30">
        <v>13</v>
      </c>
      <c r="C216" s="8">
        <v>210</v>
      </c>
      <c r="D216" s="8">
        <v>213</v>
      </c>
      <c r="E216" s="8">
        <v>10</v>
      </c>
      <c r="F216" s="8">
        <f t="shared" si="67"/>
        <v>433</v>
      </c>
      <c r="H216" s="8">
        <v>3</v>
      </c>
      <c r="J216" s="8">
        <f t="shared" si="68"/>
        <v>3</v>
      </c>
      <c r="K216" s="8">
        <v>4</v>
      </c>
      <c r="L216" s="8">
        <v>3</v>
      </c>
      <c r="M216" s="8">
        <v>0</v>
      </c>
      <c r="N216" s="8">
        <f t="shared" si="69"/>
        <v>7</v>
      </c>
      <c r="O216" s="8">
        <v>8</v>
      </c>
      <c r="P216" s="8">
        <v>9</v>
      </c>
      <c r="Q216" s="8">
        <v>1</v>
      </c>
      <c r="R216" s="8">
        <f t="shared" si="70"/>
        <v>18</v>
      </c>
      <c r="S216" s="31">
        <v>1.5</v>
      </c>
      <c r="T216" s="30">
        <v>1</v>
      </c>
      <c r="U216" s="66">
        <f>IF(A216='Свод по районам'!$A$28,'Свод по районам'!$G$28,0)</f>
        <v>1.5375864844115965</v>
      </c>
      <c r="V216" s="30">
        <f t="shared" si="86"/>
        <v>999.1</v>
      </c>
      <c r="W216" s="12">
        <f t="shared" si="84"/>
        <v>589.79129032258072</v>
      </c>
      <c r="X216" s="11">
        <v>565.9</v>
      </c>
      <c r="Y216" s="17">
        <f t="shared" si="71"/>
        <v>433.20000000000005</v>
      </c>
      <c r="Z216" s="17">
        <f t="shared" si="72"/>
        <v>433.20000000000005</v>
      </c>
      <c r="AA216" s="17">
        <f t="shared" si="73"/>
        <v>0</v>
      </c>
      <c r="AB216" s="20">
        <f t="shared" si="74"/>
        <v>23.891290322580744</v>
      </c>
      <c r="AC216" s="17">
        <f t="shared" si="75"/>
        <v>23.891290322580744</v>
      </c>
      <c r="AD216" s="17">
        <f t="shared" si="76"/>
        <v>0</v>
      </c>
      <c r="AE216" s="29">
        <v>18.3</v>
      </c>
      <c r="AF216" s="28">
        <f t="shared" si="77"/>
        <v>54595.628415300547</v>
      </c>
      <c r="AG216" s="28">
        <f t="shared" si="85"/>
        <v>32229.032258064522</v>
      </c>
      <c r="AH216" s="28">
        <f t="shared" si="78"/>
        <v>30923.497267759562</v>
      </c>
      <c r="AI216" s="42">
        <f t="shared" si="79"/>
        <v>23672.131147540986</v>
      </c>
      <c r="AJ216" s="44">
        <f t="shared" si="66"/>
        <v>30.999999999999996</v>
      </c>
      <c r="AK216" s="45">
        <f t="shared" si="80"/>
        <v>32229.032258064522</v>
      </c>
      <c r="AL216" s="45">
        <f t="shared" si="81"/>
        <v>18254.83870967742</v>
      </c>
      <c r="AM216" s="45">
        <f t="shared" si="82"/>
        <v>13974.193548387102</v>
      </c>
      <c r="AN216" s="23">
        <f t="shared" si="83"/>
        <v>1.693989071038251</v>
      </c>
      <c r="AP216" s="20" t="e">
        <f>IF(AH216/S216&lt;#REF!,AH216,0)</f>
        <v>#REF!</v>
      </c>
      <c r="AQ216" s="11" t="e">
        <f>IF(AP216&gt;0,(#REF!*S216-AP216)*AE216/1000*1.302*4,0)</f>
        <v>#REF!</v>
      </c>
    </row>
    <row r="217" spans="1:43" x14ac:dyDescent="0.25">
      <c r="A217" s="8" t="s">
        <v>276</v>
      </c>
      <c r="B217" s="30">
        <v>59</v>
      </c>
      <c r="C217" s="8">
        <v>121</v>
      </c>
      <c r="D217" s="8">
        <v>203</v>
      </c>
      <c r="E217" s="8">
        <v>100</v>
      </c>
      <c r="F217" s="8">
        <f t="shared" si="67"/>
        <v>424</v>
      </c>
      <c r="J217" s="8">
        <f t="shared" si="68"/>
        <v>0</v>
      </c>
      <c r="K217" s="8">
        <v>0</v>
      </c>
      <c r="L217" s="8">
        <v>0</v>
      </c>
      <c r="M217" s="8">
        <v>0</v>
      </c>
      <c r="N217" s="8">
        <f t="shared" si="69"/>
        <v>0</v>
      </c>
      <c r="O217" s="8">
        <v>4</v>
      </c>
      <c r="P217" s="8">
        <v>7</v>
      </c>
      <c r="Q217" s="8">
        <v>4</v>
      </c>
      <c r="R217" s="8">
        <f t="shared" si="70"/>
        <v>15</v>
      </c>
      <c r="S217" s="31">
        <v>1.5</v>
      </c>
      <c r="T217" s="30">
        <v>1</v>
      </c>
      <c r="U217" s="66">
        <f>IF(A217='Свод по районам'!$A$28,'Свод по районам'!$G$28,0)</f>
        <v>1.5375864844115965</v>
      </c>
      <c r="V217" s="30">
        <f t="shared" si="86"/>
        <v>1150.8</v>
      </c>
      <c r="W217" s="12">
        <f t="shared" si="84"/>
        <v>1099.4904458598726</v>
      </c>
      <c r="X217" s="11">
        <v>599.5</v>
      </c>
      <c r="Y217" s="17">
        <f t="shared" si="71"/>
        <v>551.29999999999995</v>
      </c>
      <c r="Z217" s="17">
        <f t="shared" si="72"/>
        <v>551.29999999999995</v>
      </c>
      <c r="AA217" s="17">
        <f t="shared" si="73"/>
        <v>0</v>
      </c>
      <c r="AB217" s="20">
        <f t="shared" si="74"/>
        <v>499.99044585987258</v>
      </c>
      <c r="AC217" s="17">
        <f t="shared" si="75"/>
        <v>499.99044585987258</v>
      </c>
      <c r="AD217" s="17">
        <f t="shared" si="76"/>
        <v>0</v>
      </c>
      <c r="AE217" s="29">
        <v>25</v>
      </c>
      <c r="AF217" s="28">
        <f t="shared" si="77"/>
        <v>46032</v>
      </c>
      <c r="AG217" s="28">
        <f t="shared" si="85"/>
        <v>43979.6178343949</v>
      </c>
      <c r="AH217" s="28">
        <f t="shared" si="78"/>
        <v>23980</v>
      </c>
      <c r="AI217" s="42">
        <f t="shared" si="79"/>
        <v>22052</v>
      </c>
      <c r="AJ217" s="44">
        <f t="shared" si="66"/>
        <v>26.166666666666664</v>
      </c>
      <c r="AK217" s="45">
        <f t="shared" si="80"/>
        <v>43979.617834394907</v>
      </c>
      <c r="AL217" s="45">
        <f t="shared" si="81"/>
        <v>22910.828025477709</v>
      </c>
      <c r="AM217" s="45">
        <f t="shared" si="82"/>
        <v>21068.789808917198</v>
      </c>
      <c r="AN217" s="23">
        <f t="shared" si="83"/>
        <v>1.0466666666666666</v>
      </c>
      <c r="AP217" s="20" t="e">
        <f>IF(AH217/S217&lt;#REF!,AH217,0)</f>
        <v>#REF!</v>
      </c>
      <c r="AQ217" s="11" t="e">
        <f>IF(AP217&gt;0,(#REF!*S217-AP217)*AE217/1000*1.302*4,0)</f>
        <v>#REF!</v>
      </c>
    </row>
    <row r="218" spans="1:43" x14ac:dyDescent="0.25">
      <c r="A218" s="8" t="s">
        <v>276</v>
      </c>
      <c r="B218" s="30">
        <v>15</v>
      </c>
      <c r="C218" s="8">
        <v>167</v>
      </c>
      <c r="D218" s="8">
        <v>162</v>
      </c>
      <c r="E218" s="8">
        <v>0</v>
      </c>
      <c r="F218" s="8">
        <f t="shared" si="67"/>
        <v>329</v>
      </c>
      <c r="J218" s="8">
        <f t="shared" si="68"/>
        <v>0</v>
      </c>
      <c r="K218" s="8">
        <v>2</v>
      </c>
      <c r="L218" s="8">
        <v>1</v>
      </c>
      <c r="M218" s="8">
        <v>0</v>
      </c>
      <c r="N218" s="8">
        <f t="shared" si="69"/>
        <v>3</v>
      </c>
      <c r="O218" s="8">
        <v>7</v>
      </c>
      <c r="P218" s="8">
        <v>7</v>
      </c>
      <c r="R218" s="8">
        <f t="shared" si="70"/>
        <v>14</v>
      </c>
      <c r="S218" s="31">
        <v>1.5</v>
      </c>
      <c r="T218" s="30">
        <v>1</v>
      </c>
      <c r="U218" s="66">
        <f>IF(A218='Свод по районам'!$A$28,'Свод по районам'!$G$28,0)</f>
        <v>1.5375864844115965</v>
      </c>
      <c r="V218" s="30">
        <f t="shared" si="86"/>
        <v>717.6</v>
      </c>
      <c r="W218" s="12">
        <f t="shared" si="84"/>
        <v>453.22105263157897</v>
      </c>
      <c r="X218" s="11">
        <v>383.00000000000006</v>
      </c>
      <c r="Y218" s="17">
        <f t="shared" si="71"/>
        <v>334.59999999999997</v>
      </c>
      <c r="Z218" s="17">
        <f t="shared" si="72"/>
        <v>334.59999999999997</v>
      </c>
      <c r="AA218" s="17">
        <f t="shared" si="73"/>
        <v>0</v>
      </c>
      <c r="AB218" s="20">
        <f t="shared" si="74"/>
        <v>70.221052631578914</v>
      </c>
      <c r="AC218" s="17">
        <f t="shared" si="75"/>
        <v>70.221052631578914</v>
      </c>
      <c r="AD218" s="17">
        <f t="shared" si="76"/>
        <v>0</v>
      </c>
      <c r="AE218" s="29">
        <v>14</v>
      </c>
      <c r="AF218" s="28">
        <f t="shared" si="77"/>
        <v>51257.142857142862</v>
      </c>
      <c r="AG218" s="28">
        <f t="shared" si="85"/>
        <v>32372.932330827069</v>
      </c>
      <c r="AH218" s="28">
        <f t="shared" si="78"/>
        <v>27357.142857142862</v>
      </c>
      <c r="AI218" s="42">
        <f t="shared" si="79"/>
        <v>23900</v>
      </c>
      <c r="AJ218" s="44">
        <f t="shared" si="66"/>
        <v>22.166666666666664</v>
      </c>
      <c r="AK218" s="45">
        <f t="shared" si="80"/>
        <v>32372.932330827069</v>
      </c>
      <c r="AL218" s="45">
        <f t="shared" si="81"/>
        <v>17278.195488721809</v>
      </c>
      <c r="AM218" s="45">
        <f t="shared" si="82"/>
        <v>15094.73684210526</v>
      </c>
      <c r="AN218" s="23">
        <f t="shared" si="83"/>
        <v>1.5833333333333333</v>
      </c>
      <c r="AP218" s="20" t="e">
        <f>IF(AH218/S218&lt;#REF!,AH218,0)</f>
        <v>#REF!</v>
      </c>
      <c r="AQ218" s="11" t="e">
        <f>IF(AP218&gt;0,(#REF!*S218-AP218)*AE218/1000*1.302*4,0)</f>
        <v>#REF!</v>
      </c>
    </row>
    <row r="219" spans="1:43" x14ac:dyDescent="0.25">
      <c r="A219" s="8" t="s">
        <v>276</v>
      </c>
      <c r="B219" s="30" t="s">
        <v>429</v>
      </c>
      <c r="C219" s="8">
        <v>312</v>
      </c>
      <c r="D219" s="8">
        <v>0</v>
      </c>
      <c r="E219" s="8">
        <v>0</v>
      </c>
      <c r="F219" s="8">
        <f t="shared" si="67"/>
        <v>312</v>
      </c>
      <c r="J219" s="8">
        <f t="shared" si="68"/>
        <v>0</v>
      </c>
      <c r="K219" s="8">
        <v>5</v>
      </c>
      <c r="L219" s="8">
        <v>0</v>
      </c>
      <c r="M219" s="8">
        <v>0</v>
      </c>
      <c r="N219" s="8">
        <f t="shared" si="69"/>
        <v>5</v>
      </c>
      <c r="O219" s="8">
        <v>10</v>
      </c>
      <c r="R219" s="8">
        <f t="shared" si="70"/>
        <v>10</v>
      </c>
      <c r="S219" s="31">
        <v>1.5</v>
      </c>
      <c r="T219" s="30">
        <v>1</v>
      </c>
      <c r="U219" s="66">
        <f>IF(A219='Свод по районам'!$A$28,'Свод по районам'!$G$28,0)</f>
        <v>1.5375864844115965</v>
      </c>
      <c r="V219" s="30">
        <f t="shared" si="86"/>
        <v>548.4</v>
      </c>
      <c r="W219" s="12">
        <f t="shared" si="84"/>
        <v>501.78600000000006</v>
      </c>
      <c r="X219" s="11">
        <v>360.5</v>
      </c>
      <c r="Y219" s="17">
        <f t="shared" si="71"/>
        <v>187.89999999999998</v>
      </c>
      <c r="Z219" s="17">
        <f t="shared" si="72"/>
        <v>187.89999999999998</v>
      </c>
      <c r="AA219" s="17">
        <f t="shared" si="73"/>
        <v>0</v>
      </c>
      <c r="AB219" s="20">
        <f t="shared" si="74"/>
        <v>141.28600000000006</v>
      </c>
      <c r="AC219" s="17">
        <f t="shared" si="75"/>
        <v>141.28600000000006</v>
      </c>
      <c r="AD219" s="17">
        <f t="shared" si="76"/>
        <v>0</v>
      </c>
      <c r="AE219" s="29">
        <v>12.2</v>
      </c>
      <c r="AF219" s="28">
        <f t="shared" si="77"/>
        <v>44950.819672131147</v>
      </c>
      <c r="AG219" s="28">
        <f t="shared" si="85"/>
        <v>41130.000000000007</v>
      </c>
      <c r="AH219" s="28">
        <f t="shared" si="78"/>
        <v>29549.180327868853</v>
      </c>
      <c r="AI219" s="42">
        <f t="shared" si="79"/>
        <v>15401.639344262294</v>
      </c>
      <c r="AJ219" s="44">
        <f t="shared" si="66"/>
        <v>13.333333333333332</v>
      </c>
      <c r="AK219" s="45">
        <f t="shared" si="80"/>
        <v>41130</v>
      </c>
      <c r="AL219" s="45">
        <f t="shared" si="81"/>
        <v>27037.5</v>
      </c>
      <c r="AM219" s="45">
        <f t="shared" si="82"/>
        <v>14092.5</v>
      </c>
      <c r="AN219" s="23">
        <f t="shared" si="83"/>
        <v>1.0928961748633879</v>
      </c>
      <c r="AP219" s="20" t="e">
        <f>IF(AH219/S219&lt;#REF!,AH219,0)</f>
        <v>#REF!</v>
      </c>
      <c r="AQ219" s="11" t="e">
        <f>IF(AP219&gt;0,(#REF!*S219-AP219)*AE219/1000*1.302*4,0)</f>
        <v>#REF!</v>
      </c>
    </row>
    <row r="220" spans="1:43" x14ac:dyDescent="0.25">
      <c r="A220" s="8" t="s">
        <v>276</v>
      </c>
      <c r="B220" s="30">
        <v>24</v>
      </c>
      <c r="C220" s="8">
        <v>142</v>
      </c>
      <c r="D220" s="8">
        <v>141</v>
      </c>
      <c r="E220" s="8">
        <v>26</v>
      </c>
      <c r="F220" s="8">
        <f t="shared" si="67"/>
        <v>309</v>
      </c>
      <c r="J220" s="8">
        <f t="shared" si="68"/>
        <v>0</v>
      </c>
      <c r="K220" s="8">
        <v>0</v>
      </c>
      <c r="L220" s="8">
        <v>2</v>
      </c>
      <c r="M220" s="8">
        <v>0</v>
      </c>
      <c r="N220" s="8">
        <f t="shared" si="69"/>
        <v>2</v>
      </c>
      <c r="O220" s="8">
        <v>6</v>
      </c>
      <c r="P220" s="8">
        <v>6</v>
      </c>
      <c r="Q220" s="8">
        <v>2</v>
      </c>
      <c r="R220" s="8">
        <f t="shared" si="70"/>
        <v>14</v>
      </c>
      <c r="S220" s="31">
        <v>1.5</v>
      </c>
      <c r="T220" s="30">
        <v>1</v>
      </c>
      <c r="U220" s="66">
        <f>IF(A220='Свод по районам'!$A$28,'Свод по районам'!$G$28,0)</f>
        <v>1.5375864844115965</v>
      </c>
      <c r="V220" s="30">
        <f t="shared" si="86"/>
        <v>724.7</v>
      </c>
      <c r="W220" s="12">
        <f t="shared" si="84"/>
        <v>409.61304347826092</v>
      </c>
      <c r="X220" s="11">
        <v>418.3</v>
      </c>
      <c r="Y220" s="17">
        <f t="shared" si="71"/>
        <v>306.40000000000003</v>
      </c>
      <c r="Z220" s="17">
        <f t="shared" si="72"/>
        <v>306.40000000000003</v>
      </c>
      <c r="AA220" s="17">
        <f t="shared" si="73"/>
        <v>0</v>
      </c>
      <c r="AB220" s="20">
        <f t="shared" si="74"/>
        <v>-8.6869565217390914</v>
      </c>
      <c r="AC220" s="17">
        <f t="shared" si="75"/>
        <v>0</v>
      </c>
      <c r="AD220" s="17">
        <f t="shared" si="76"/>
        <v>-8.6869565217390914</v>
      </c>
      <c r="AE220" s="29">
        <v>13</v>
      </c>
      <c r="AF220" s="28">
        <f t="shared" si="77"/>
        <v>55746.153846153851</v>
      </c>
      <c r="AG220" s="28">
        <f t="shared" si="85"/>
        <v>31508.695652173916</v>
      </c>
      <c r="AH220" s="28">
        <f t="shared" si="78"/>
        <v>32176.923076923074</v>
      </c>
      <c r="AI220" s="42">
        <f t="shared" si="79"/>
        <v>23569.230769230777</v>
      </c>
      <c r="AJ220" s="44">
        <f t="shared" si="66"/>
        <v>23</v>
      </c>
      <c r="AK220" s="45">
        <f t="shared" si="80"/>
        <v>31508.695652173916</v>
      </c>
      <c r="AL220" s="45">
        <f t="shared" si="81"/>
        <v>18186.956521739132</v>
      </c>
      <c r="AM220" s="45">
        <f t="shared" si="82"/>
        <v>13321.739130434784</v>
      </c>
      <c r="AN220" s="23">
        <f t="shared" si="83"/>
        <v>1.7692307692307692</v>
      </c>
      <c r="AP220" s="20" t="e">
        <f>IF(AH220/S220&lt;#REF!,AH220,0)</f>
        <v>#REF!</v>
      </c>
      <c r="AQ220" s="11" t="e">
        <f>IF(AP220&gt;0,(#REF!*S220-AP220)*AE220/1000*1.302*4,0)</f>
        <v>#REF!</v>
      </c>
    </row>
    <row r="221" spans="1:43" x14ac:dyDescent="0.25">
      <c r="A221" s="8" t="s">
        <v>276</v>
      </c>
      <c r="B221" s="30" t="s">
        <v>433</v>
      </c>
      <c r="C221" s="8">
        <v>121</v>
      </c>
      <c r="D221" s="8">
        <v>136</v>
      </c>
      <c r="E221" s="8">
        <v>28</v>
      </c>
      <c r="F221" s="8">
        <f t="shared" si="67"/>
        <v>285</v>
      </c>
      <c r="J221" s="8">
        <f t="shared" si="68"/>
        <v>0</v>
      </c>
      <c r="K221" s="8">
        <v>1</v>
      </c>
      <c r="L221" s="8">
        <v>1</v>
      </c>
      <c r="M221" s="8">
        <v>0</v>
      </c>
      <c r="N221" s="8">
        <f t="shared" si="69"/>
        <v>2</v>
      </c>
      <c r="O221" s="8">
        <v>4</v>
      </c>
      <c r="P221" s="8">
        <v>5</v>
      </c>
      <c r="Q221" s="8">
        <v>2</v>
      </c>
      <c r="R221" s="8">
        <f t="shared" si="70"/>
        <v>11</v>
      </c>
      <c r="S221" s="31">
        <v>1.5</v>
      </c>
      <c r="T221" s="30">
        <v>1</v>
      </c>
      <c r="U221" s="66">
        <f>IF(A221='Свод по районам'!$A$28,'Свод по районам'!$G$28,0)</f>
        <v>1.5375864844115965</v>
      </c>
      <c r="V221" s="30">
        <f t="shared" si="86"/>
        <v>682.8</v>
      </c>
      <c r="W221" s="12">
        <f t="shared" si="84"/>
        <v>594.22054054054058</v>
      </c>
      <c r="X221" s="11">
        <v>403</v>
      </c>
      <c r="Y221" s="17">
        <f t="shared" si="71"/>
        <v>279.79999999999995</v>
      </c>
      <c r="Z221" s="17">
        <f t="shared" si="72"/>
        <v>279.79999999999995</v>
      </c>
      <c r="AA221" s="17">
        <f t="shared" si="73"/>
        <v>0</v>
      </c>
      <c r="AB221" s="20">
        <f t="shared" si="74"/>
        <v>191.22054054054058</v>
      </c>
      <c r="AC221" s="17">
        <f t="shared" si="75"/>
        <v>191.22054054054058</v>
      </c>
      <c r="AD221" s="17">
        <f t="shared" si="76"/>
        <v>0</v>
      </c>
      <c r="AE221" s="29">
        <v>16.100000000000001</v>
      </c>
      <c r="AF221" s="28">
        <f t="shared" si="77"/>
        <v>42409.93788819875</v>
      </c>
      <c r="AG221" s="28">
        <f t="shared" si="85"/>
        <v>36908.108108108107</v>
      </c>
      <c r="AH221" s="28">
        <f t="shared" si="78"/>
        <v>25031.055900621115</v>
      </c>
      <c r="AI221" s="42">
        <f t="shared" si="79"/>
        <v>17378.881987577635</v>
      </c>
      <c r="AJ221" s="44">
        <f t="shared" si="66"/>
        <v>18.5</v>
      </c>
      <c r="AK221" s="45">
        <f t="shared" si="80"/>
        <v>36908.108108108099</v>
      </c>
      <c r="AL221" s="45">
        <f t="shared" si="81"/>
        <v>21783.783783783783</v>
      </c>
      <c r="AM221" s="45">
        <f t="shared" si="82"/>
        <v>15124.324324324316</v>
      </c>
      <c r="AN221" s="23">
        <f t="shared" si="83"/>
        <v>1.1490683229813663</v>
      </c>
      <c r="AP221" s="20" t="e">
        <f>IF(AH221/S221&lt;#REF!,AH221,0)</f>
        <v>#REF!</v>
      </c>
      <c r="AQ221" s="11" t="e">
        <f>IF(AP221&gt;0,(#REF!*S221-AP221)*AE221/1000*1.302*4,0)</f>
        <v>#REF!</v>
      </c>
    </row>
    <row r="222" spans="1:43" x14ac:dyDescent="0.25">
      <c r="A222" s="8" t="s">
        <v>276</v>
      </c>
      <c r="B222" s="30" t="s">
        <v>431</v>
      </c>
      <c r="C222" s="8">
        <v>108</v>
      </c>
      <c r="D222" s="8">
        <v>129</v>
      </c>
      <c r="E222" s="8">
        <v>0</v>
      </c>
      <c r="F222" s="8">
        <f t="shared" si="67"/>
        <v>237</v>
      </c>
      <c r="J222" s="8">
        <f t="shared" si="68"/>
        <v>0</v>
      </c>
      <c r="K222" s="8">
        <v>5</v>
      </c>
      <c r="L222" s="8">
        <v>4</v>
      </c>
      <c r="M222" s="8">
        <v>0</v>
      </c>
      <c r="N222" s="8">
        <f t="shared" si="69"/>
        <v>9</v>
      </c>
      <c r="O222" s="8">
        <v>4</v>
      </c>
      <c r="P222" s="8">
        <v>6</v>
      </c>
      <c r="R222" s="8">
        <f t="shared" si="70"/>
        <v>10</v>
      </c>
      <c r="S222" s="31">
        <v>1.5</v>
      </c>
      <c r="T222" s="30">
        <v>1</v>
      </c>
      <c r="U222" s="66">
        <f>IF(A222='Свод по районам'!$A$28,'Свод по районам'!$G$28,0)</f>
        <v>1.5375864844115965</v>
      </c>
      <c r="V222" s="30">
        <f t="shared" si="86"/>
        <v>530.6</v>
      </c>
      <c r="W222" s="12">
        <f t="shared" si="84"/>
        <v>292.37142857142862</v>
      </c>
      <c r="X222" s="11">
        <v>296.3</v>
      </c>
      <c r="Y222" s="17">
        <f t="shared" si="71"/>
        <v>234.3</v>
      </c>
      <c r="Z222" s="17">
        <f t="shared" si="72"/>
        <v>234.3</v>
      </c>
      <c r="AA222" s="17">
        <f t="shared" si="73"/>
        <v>0</v>
      </c>
      <c r="AB222" s="20">
        <f t="shared" si="74"/>
        <v>-3.928571428571388</v>
      </c>
      <c r="AC222" s="17">
        <f t="shared" si="75"/>
        <v>0</v>
      </c>
      <c r="AD222" s="17">
        <f t="shared" si="76"/>
        <v>-3.928571428571388</v>
      </c>
      <c r="AE222" s="29">
        <v>9</v>
      </c>
      <c r="AF222" s="28">
        <f t="shared" si="77"/>
        <v>58955.555555555555</v>
      </c>
      <c r="AG222" s="28">
        <f t="shared" si="85"/>
        <v>32485.714285714294</v>
      </c>
      <c r="AH222" s="28">
        <f t="shared" si="78"/>
        <v>32922.222222222226</v>
      </c>
      <c r="AI222" s="42">
        <f t="shared" si="79"/>
        <v>26033.333333333328</v>
      </c>
      <c r="AJ222" s="44">
        <f t="shared" si="66"/>
        <v>16.333333333333332</v>
      </c>
      <c r="AK222" s="45">
        <f t="shared" si="80"/>
        <v>32485.714285714286</v>
      </c>
      <c r="AL222" s="45">
        <f t="shared" si="81"/>
        <v>18140.816326530614</v>
      </c>
      <c r="AM222" s="45">
        <f t="shared" si="82"/>
        <v>14344.897959183672</v>
      </c>
      <c r="AN222" s="23">
        <f t="shared" si="83"/>
        <v>1.8148148148148147</v>
      </c>
      <c r="AP222" s="20" t="e">
        <f>IF(AH222/S222&lt;#REF!,AH222,0)</f>
        <v>#REF!</v>
      </c>
      <c r="AQ222" s="11" t="e">
        <f>IF(AP222&gt;0,(#REF!*S222-AP222)*AE222/1000*1.302*4,0)</f>
        <v>#REF!</v>
      </c>
    </row>
    <row r="223" spans="1:43" x14ac:dyDescent="0.25">
      <c r="A223" s="8" t="s">
        <v>276</v>
      </c>
      <c r="B223" s="30" t="s">
        <v>430</v>
      </c>
      <c r="C223" s="8">
        <v>106</v>
      </c>
      <c r="D223" s="8">
        <v>93</v>
      </c>
      <c r="E223" s="8">
        <v>18</v>
      </c>
      <c r="F223" s="8">
        <f t="shared" si="67"/>
        <v>217</v>
      </c>
      <c r="J223" s="8">
        <f t="shared" si="68"/>
        <v>0</v>
      </c>
      <c r="K223" s="8">
        <v>1</v>
      </c>
      <c r="L223" s="8">
        <v>0</v>
      </c>
      <c r="M223" s="8">
        <v>0</v>
      </c>
      <c r="N223" s="8">
        <f t="shared" si="69"/>
        <v>1</v>
      </c>
      <c r="O223" s="8">
        <v>4</v>
      </c>
      <c r="P223" s="8">
        <v>5</v>
      </c>
      <c r="Q223" s="8">
        <v>1</v>
      </c>
      <c r="R223" s="8">
        <f t="shared" si="70"/>
        <v>10</v>
      </c>
      <c r="S223" s="31">
        <v>1.5</v>
      </c>
      <c r="T223" s="30">
        <v>1</v>
      </c>
      <c r="U223" s="66">
        <f>IF(A223='Свод по районам'!$A$28,'Свод по районам'!$G$28,0)</f>
        <v>1.5375864844115965</v>
      </c>
      <c r="V223" s="30">
        <f t="shared" si="86"/>
        <v>502.8</v>
      </c>
      <c r="W223" s="12">
        <f t="shared" si="84"/>
        <v>588.12363636363648</v>
      </c>
      <c r="X223" s="11">
        <v>263.09999999999997</v>
      </c>
      <c r="Y223" s="17">
        <f t="shared" si="71"/>
        <v>239.70000000000005</v>
      </c>
      <c r="Z223" s="17">
        <f t="shared" si="72"/>
        <v>239.70000000000005</v>
      </c>
      <c r="AA223" s="17">
        <f t="shared" si="73"/>
        <v>0</v>
      </c>
      <c r="AB223" s="20">
        <f t="shared" si="74"/>
        <v>325.02363636363651</v>
      </c>
      <c r="AC223" s="17">
        <f t="shared" si="75"/>
        <v>325.02363636363651</v>
      </c>
      <c r="AD223" s="17">
        <f t="shared" si="76"/>
        <v>0</v>
      </c>
      <c r="AE223" s="29">
        <v>19.3</v>
      </c>
      <c r="AF223" s="28">
        <f t="shared" si="77"/>
        <v>26051.813471502592</v>
      </c>
      <c r="AG223" s="28">
        <f t="shared" si="85"/>
        <v>30472.727272727276</v>
      </c>
      <c r="AH223" s="28">
        <f t="shared" si="78"/>
        <v>13632.124352331602</v>
      </c>
      <c r="AI223" s="42">
        <f t="shared" si="79"/>
        <v>12419.689119170989</v>
      </c>
      <c r="AJ223" s="44">
        <f t="shared" si="66"/>
        <v>16.5</v>
      </c>
      <c r="AK223" s="45">
        <f t="shared" si="80"/>
        <v>30472.727272727272</v>
      </c>
      <c r="AL223" s="45">
        <f t="shared" si="81"/>
        <v>15945.454545454544</v>
      </c>
      <c r="AM223" s="45">
        <f t="shared" si="82"/>
        <v>14527.272727272728</v>
      </c>
      <c r="AN223" s="23">
        <f t="shared" si="83"/>
        <v>0.85492227979274604</v>
      </c>
      <c r="AP223" s="20" t="e">
        <f>IF(AH223/S223&lt;#REF!,AH223,0)</f>
        <v>#REF!</v>
      </c>
      <c r="AQ223" s="11" t="e">
        <f>IF(AP223&gt;0,(#REF!*S223-AP223)*AE223/1000*1.302*4,0)</f>
        <v>#REF!</v>
      </c>
    </row>
    <row r="224" spans="1:43" x14ac:dyDescent="0.25">
      <c r="B224" s="8" t="s">
        <v>268</v>
      </c>
      <c r="C224" s="8">
        <f t="shared" ref="C224:R224" si="87">SUM(C18:C223)</f>
        <v>56398</v>
      </c>
      <c r="D224" s="8">
        <f t="shared" si="87"/>
        <v>59287</v>
      </c>
      <c r="E224" s="8">
        <f t="shared" si="87"/>
        <v>10306</v>
      </c>
      <c r="F224" s="8">
        <f t="shared" si="87"/>
        <v>125991</v>
      </c>
      <c r="G224" s="8">
        <f t="shared" si="87"/>
        <v>590</v>
      </c>
      <c r="H224" s="8">
        <f t="shared" si="87"/>
        <v>503</v>
      </c>
      <c r="I224" s="8">
        <f t="shared" si="87"/>
        <v>64</v>
      </c>
      <c r="J224" s="8">
        <f t="shared" si="87"/>
        <v>1157</v>
      </c>
      <c r="K224" s="8">
        <f t="shared" si="87"/>
        <v>1060</v>
      </c>
      <c r="L224" s="8">
        <f t="shared" si="87"/>
        <v>711</v>
      </c>
      <c r="M224" s="8">
        <f t="shared" si="87"/>
        <v>97</v>
      </c>
      <c r="N224" s="8">
        <f t="shared" si="87"/>
        <v>1868</v>
      </c>
      <c r="O224" s="8">
        <f t="shared" si="87"/>
        <v>2105</v>
      </c>
      <c r="P224" s="8">
        <f t="shared" si="87"/>
        <v>2360</v>
      </c>
      <c r="Q224" s="8">
        <f t="shared" si="87"/>
        <v>512</v>
      </c>
      <c r="R224" s="8">
        <f t="shared" si="87"/>
        <v>4977</v>
      </c>
      <c r="V224" s="12">
        <f t="shared" ref="V224:AE224" si="88">SUM(V18:V223)</f>
        <v>342644.39999999985</v>
      </c>
      <c r="W224" s="12">
        <f t="shared" si="88"/>
        <v>238597.27666244769</v>
      </c>
      <c r="X224" s="12">
        <f t="shared" si="88"/>
        <v>212719.41256999999</v>
      </c>
      <c r="Y224" s="12">
        <f t="shared" si="88"/>
        <v>129924.98743000004</v>
      </c>
      <c r="Z224" s="12">
        <f t="shared" si="88"/>
        <v>130253.53244000004</v>
      </c>
      <c r="AA224" s="12">
        <f t="shared" si="88"/>
        <v>-328.54501000000005</v>
      </c>
      <c r="AB224" s="12">
        <f t="shared" si="88"/>
        <v>25877.864092447697</v>
      </c>
      <c r="AC224" s="12">
        <f t="shared" si="88"/>
        <v>37359.872091335572</v>
      </c>
      <c r="AD224" s="12">
        <f t="shared" si="88"/>
        <v>-11482.007998887873</v>
      </c>
      <c r="AE224" s="12">
        <f t="shared" si="88"/>
        <v>6072.5000000000018</v>
      </c>
      <c r="AF224" s="28">
        <f t="shared" si="77"/>
        <v>56425.59077809794</v>
      </c>
      <c r="AG224" s="28">
        <f t="shared" si="85"/>
        <v>39291.441195956795</v>
      </c>
      <c r="AH224" s="28">
        <f t="shared" si="78"/>
        <v>35029.956783861657</v>
      </c>
      <c r="AI224" s="42">
        <f t="shared" si="79"/>
        <v>21395.633994236283</v>
      </c>
      <c r="AJ224" s="12">
        <f>SUM(AJ18:AJ223)</f>
        <v>8769.6111111111059</v>
      </c>
      <c r="AK224" s="45">
        <f>V224/AJ224*1000</f>
        <v>39071.789576378033</v>
      </c>
      <c r="AL224" s="45">
        <f t="shared" si="81"/>
        <v>24256.424814606005</v>
      </c>
      <c r="AM224" s="45">
        <f t="shared" si="82"/>
        <v>14815.364761772027</v>
      </c>
      <c r="AN224" s="23">
        <f t="shared" si="83"/>
        <v>1.4441516856502434</v>
      </c>
      <c r="AQ224" s="11" t="e">
        <f>SUM(AQ18:AQ223)</f>
        <v>#REF!</v>
      </c>
    </row>
    <row r="225" spans="5:43" x14ac:dyDescent="0.25">
      <c r="V225" s="17">
        <f>V224*12*1.302</f>
        <v>5353476.1055999976</v>
      </c>
      <c r="W225" s="17">
        <f>W224*12*1.302</f>
        <v>3727843.8505740827</v>
      </c>
      <c r="X225" s="17">
        <f>X224*12*1.302</f>
        <v>3323528.10199368</v>
      </c>
      <c r="Y225" s="17">
        <f>V225-X225</f>
        <v>2029948.0036063176</v>
      </c>
      <c r="Z225" s="17">
        <f>Z224*12*1.302</f>
        <v>2035081.1908425607</v>
      </c>
      <c r="AA225" s="17">
        <f>AA224*12*1.302</f>
        <v>-5133.1872362400009</v>
      </c>
      <c r="AB225" s="17">
        <f>AB224*12*1.302</f>
        <v>404315.74858040287</v>
      </c>
      <c r="AC225" s="17">
        <f>AC224*12*1.302</f>
        <v>583710.64155502699</v>
      </c>
      <c r="AD225" s="17">
        <f>AD224*12*1.302</f>
        <v>-179394.89297462415</v>
      </c>
      <c r="AE225" s="8"/>
      <c r="AF225" s="29"/>
      <c r="AG225" s="29"/>
      <c r="AH225" s="29" t="s">
        <v>440</v>
      </c>
      <c r="AI225" s="43">
        <f>COUNTIF(AI18:AI224,"&lt;0")</f>
        <v>8</v>
      </c>
      <c r="AJ225" s="43"/>
      <c r="AK225" s="86">
        <v>35006</v>
      </c>
      <c r="AL225" s="43"/>
      <c r="AM225" s="43"/>
      <c r="AQ225" s="11" t="e">
        <f>AQ224+малокомпл!#REF!+вечерние!AJ38</f>
        <v>#REF!</v>
      </c>
    </row>
    <row r="226" spans="5:43" x14ac:dyDescent="0.25">
      <c r="E226" s="32" t="s">
        <v>508</v>
      </c>
      <c r="F226" s="8">
        <f>F224*1.5</f>
        <v>188986.5</v>
      </c>
      <c r="V226" s="19">
        <f>V225*1.25</f>
        <v>6691845.1319999974</v>
      </c>
      <c r="W226" s="19">
        <f>W225*1.25</f>
        <v>4659804.8132176036</v>
      </c>
      <c r="Z226" s="19">
        <f>Z225/12*4</f>
        <v>678360.3969475202</v>
      </c>
      <c r="AA226" s="19">
        <f>AA225/12*4</f>
        <v>-1711.0624120800003</v>
      </c>
      <c r="AB226" s="20"/>
      <c r="AC226" s="19">
        <f>AC225/12*4</f>
        <v>194570.21385167565</v>
      </c>
      <c r="AD226" s="19">
        <f>AD225/12*4</f>
        <v>-59798.297658208052</v>
      </c>
      <c r="AE226" s="8"/>
      <c r="AF226" s="29"/>
      <c r="AG226" s="29"/>
      <c r="AH226" s="29" t="s">
        <v>441</v>
      </c>
      <c r="AI226" s="43">
        <f>COUNTIF(AI18:AI224,"&gt;0")</f>
        <v>199</v>
      </c>
      <c r="AJ226" s="43"/>
      <c r="AK226" s="46">
        <f>AK224/AK225</f>
        <v>1.1161455058098049</v>
      </c>
      <c r="AL226" s="43"/>
      <c r="AM226" s="43"/>
      <c r="AQ226" s="8" t="e">
        <f>AQ225/4*12</f>
        <v>#REF!</v>
      </c>
    </row>
    <row r="227" spans="5:43" x14ac:dyDescent="0.25">
      <c r="V227" s="19">
        <f>V226+F226</f>
        <v>6880831.6319999974</v>
      </c>
      <c r="W227" s="19">
        <f>W226+F226</f>
        <v>4848791.3132176036</v>
      </c>
      <c r="AB227" s="20"/>
      <c r="AC227" s="17"/>
      <c r="AD227" s="17"/>
      <c r="AE227" s="45">
        <f>AE224+малокомпл!AB238+вечерние!X38</f>
        <v>7798.1000000000013</v>
      </c>
      <c r="AF227" s="43"/>
      <c r="AG227" s="43"/>
      <c r="AH227" s="43"/>
      <c r="AI227" s="43"/>
      <c r="AJ227" s="43"/>
      <c r="AK227" s="29"/>
    </row>
    <row r="228" spans="5:43" x14ac:dyDescent="0.25">
      <c r="T228" s="32" t="s">
        <v>509</v>
      </c>
      <c r="V228" s="19">
        <f>V227+малокомпл!S241+вечерние!R41</f>
        <v>8787223.805999998</v>
      </c>
      <c r="W228" s="19">
        <f>W227+малокомпл!T241+вечерние!S41</f>
        <v>6140171.7407749062</v>
      </c>
      <c r="X228" s="19">
        <f>V228-AA225</f>
        <v>8792356.9932362381</v>
      </c>
      <c r="AB228" s="20"/>
      <c r="AC228" s="17"/>
      <c r="AD228" s="17"/>
      <c r="AE228" s="43"/>
      <c r="AF228" s="43"/>
      <c r="AG228" s="43"/>
      <c r="AH228" s="43"/>
      <c r="AI228" s="43"/>
      <c r="AJ228" s="43"/>
      <c r="AK228" s="29"/>
      <c r="AL228" s="29"/>
    </row>
    <row r="229" spans="5:43" x14ac:dyDescent="0.25">
      <c r="T229" s="32" t="s">
        <v>473</v>
      </c>
      <c r="U229" s="32"/>
      <c r="V229" s="18">
        <v>6007203.9000000004</v>
      </c>
      <c r="W229" s="18">
        <v>6007203.9000000004</v>
      </c>
      <c r="AB229" s="20"/>
      <c r="AC229" s="17"/>
      <c r="AD229" s="17"/>
      <c r="AE229" s="43"/>
      <c r="AF229" s="43"/>
      <c r="AG229" s="43"/>
      <c r="AH229" s="43"/>
      <c r="AI229" s="43"/>
      <c r="AJ229" s="43"/>
      <c r="AK229" s="29"/>
      <c r="AL229" s="29"/>
    </row>
    <row r="230" spans="5:43" x14ac:dyDescent="0.25">
      <c r="T230" s="32" t="s">
        <v>470</v>
      </c>
      <c r="U230" s="32"/>
      <c r="V230" s="19">
        <f>V229-V228</f>
        <v>-2780019.9059999976</v>
      </c>
      <c r="W230" s="19">
        <f>W229-W228</f>
        <v>-132967.84077490587</v>
      </c>
      <c r="X230" s="19">
        <f>V230+AA225+малокомпл!X239+вечерние!W39</f>
        <v>-2793660.5137097514</v>
      </c>
      <c r="AB230" s="20"/>
      <c r="AC230" s="17"/>
      <c r="AD230" s="17"/>
      <c r="AE230" s="43"/>
      <c r="AF230" s="43"/>
      <c r="AG230" s="43"/>
      <c r="AH230" s="43"/>
      <c r="AI230" s="43"/>
      <c r="AJ230" s="43"/>
      <c r="AK230" s="29"/>
      <c r="AL230" s="29"/>
    </row>
    <row r="231" spans="5:43" x14ac:dyDescent="0.25">
      <c r="T231" s="32"/>
      <c r="U231" s="32"/>
      <c r="AB231" s="19"/>
      <c r="AD231" s="29"/>
      <c r="AE231" s="43"/>
      <c r="AF231" s="43"/>
      <c r="AG231" s="43"/>
      <c r="AH231" s="43"/>
      <c r="AI231" s="43"/>
      <c r="AJ231" s="43"/>
      <c r="AK231" s="29"/>
      <c r="AL231" s="29"/>
    </row>
  </sheetData>
  <autoFilter ref="A17:AQ230"/>
  <customSheetViews>
    <customSheetView guid="{4133D4E7-E8A6-4C76-8386-CAD92A178FB1}" scale="70" showAutoFilter="1" topLeftCell="A4">
      <pane xSplit="2" ySplit="11" topLeftCell="C15" activePane="bottomRight" state="frozen"/>
      <selection pane="bottomRight" activeCell="B222" sqref="B15:B222"/>
      <pageMargins left="0.7" right="0.7" top="0.75" bottom="0.75" header="0.3" footer="0.3"/>
      <autoFilter ref="A14:AN229">
        <sortState ref="A19:AL229">
          <sortCondition ref="A14"/>
        </sortState>
      </autoFilter>
    </customSheetView>
    <customSheetView guid="{E6CA5BE8-E4DB-45B9-BD02-6D0572E660A3}" scale="70" showAutoFilter="1" topLeftCell="A4">
      <pane xSplit="2" ySplit="11" topLeftCell="V15" activePane="bottomRight" state="frozen"/>
      <selection pane="bottomRight" activeCell="AP13" sqref="AP13:AP14"/>
      <pageMargins left="0.7" right="0.7" top="0.75" bottom="0.75" header="0.3" footer="0.3"/>
      <autoFilter ref="A14:AN229">
        <sortState ref="A19:AL229">
          <sortCondition ref="A14"/>
        </sortState>
      </autoFilter>
    </customSheetView>
  </customSheetViews>
  <mergeCells count="47">
    <mergeCell ref="AB14:AE14"/>
    <mergeCell ref="AE16:AE17"/>
    <mergeCell ref="U15:U17"/>
    <mergeCell ref="AF16:AF17"/>
    <mergeCell ref="AH16:AH17"/>
    <mergeCell ref="AA15:AA17"/>
    <mergeCell ref="AE15:AI15"/>
    <mergeCell ref="AI16:AI17"/>
    <mergeCell ref="AB15:AB17"/>
    <mergeCell ref="AC15:AC17"/>
    <mergeCell ref="AD15:AD17"/>
    <mergeCell ref="AG16:AG17"/>
    <mergeCell ref="T15:T17"/>
    <mergeCell ref="V15:V17"/>
    <mergeCell ref="X15:X17"/>
    <mergeCell ref="Y15:Y17"/>
    <mergeCell ref="Z15:Z17"/>
    <mergeCell ref="W15:W17"/>
    <mergeCell ref="A15:A17"/>
    <mergeCell ref="B15:B17"/>
    <mergeCell ref="C15:F16"/>
    <mergeCell ref="S15:S17"/>
    <mergeCell ref="K16:N16"/>
    <mergeCell ref="G16:J16"/>
    <mergeCell ref="G15:N15"/>
    <mergeCell ref="O15:R16"/>
    <mergeCell ref="A12:B12"/>
    <mergeCell ref="N2:AB2"/>
    <mergeCell ref="N7:P9"/>
    <mergeCell ref="N10:P10"/>
    <mergeCell ref="N11:P11"/>
    <mergeCell ref="N12:P12"/>
    <mergeCell ref="B2:L2"/>
    <mergeCell ref="A7:B9"/>
    <mergeCell ref="A10:B10"/>
    <mergeCell ref="A11:B11"/>
    <mergeCell ref="C7:K8"/>
    <mergeCell ref="Q7:X8"/>
    <mergeCell ref="A5:K5"/>
    <mergeCell ref="AP16:AP17"/>
    <mergeCell ref="AQ16:AQ17"/>
    <mergeCell ref="AN15:AN17"/>
    <mergeCell ref="AJ15:AM15"/>
    <mergeCell ref="AJ16:AJ17"/>
    <mergeCell ref="AK16:AK17"/>
    <mergeCell ref="AL16:AL17"/>
    <mergeCell ref="AM16:AM17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1"/>
  <sheetViews>
    <sheetView showZeros="0" zoomScale="70" zoomScaleNormal="70" workbookViewId="0">
      <pane xSplit="3" ySplit="13" topLeftCell="L194" activePane="bottomRight" state="frozen"/>
      <selection pane="topRight" activeCell="D1" sqref="D1"/>
      <selection pane="bottomLeft" activeCell="A14" sqref="A14"/>
      <selection pane="bottomRight" activeCell="AH239" sqref="AH239"/>
    </sheetView>
  </sheetViews>
  <sheetFormatPr defaultRowHeight="15" x14ac:dyDescent="0.25"/>
  <cols>
    <col min="1" max="1" width="16.140625" style="8" customWidth="1"/>
    <col min="2" max="2" width="4.7109375" style="8" customWidth="1"/>
    <col min="3" max="3" width="33.85546875" style="8" customWidth="1"/>
    <col min="4" max="4" width="10.28515625" style="8" customWidth="1"/>
    <col min="5" max="5" width="10.42578125" style="8" customWidth="1"/>
    <col min="6" max="6" width="11.42578125" style="8" customWidth="1"/>
    <col min="7" max="7" width="11.5703125" style="8" customWidth="1"/>
    <col min="8" max="8" width="8.85546875" style="8" customWidth="1"/>
    <col min="9" max="9" width="8" style="8" customWidth="1"/>
    <col min="10" max="10" width="7" style="8" customWidth="1"/>
    <col min="11" max="11" width="11.140625" style="8" customWidth="1"/>
    <col min="12" max="12" width="9.85546875" style="8" customWidth="1"/>
    <col min="13" max="13" width="11" style="8" customWidth="1"/>
    <col min="14" max="14" width="9.5703125" style="8" customWidth="1"/>
    <col min="15" max="15" width="8.42578125" style="8" customWidth="1"/>
    <col min="16" max="16" width="9.85546875" style="8" customWidth="1"/>
    <col min="17" max="17" width="9.42578125" style="8" customWidth="1"/>
    <col min="18" max="18" width="9.7109375" style="8" customWidth="1"/>
    <col min="19" max="20" width="16.42578125" style="8" customWidth="1"/>
    <col min="21" max="22" width="13.7109375" style="8" customWidth="1"/>
    <col min="23" max="23" width="14.28515625" style="8" customWidth="1"/>
    <col min="24" max="24" width="16.5703125" style="8" customWidth="1"/>
    <col min="25" max="25" width="13.140625" style="8" customWidth="1"/>
    <col min="26" max="26" width="9.140625" style="8"/>
    <col min="27" max="27" width="11.140625" style="8" customWidth="1"/>
    <col min="28" max="28" width="17.5703125" style="8" customWidth="1"/>
    <col min="29" max="30" width="11.140625" style="8" customWidth="1"/>
    <col min="31" max="31" width="11.7109375" style="8" customWidth="1"/>
    <col min="32" max="16384" width="9.140625" style="8"/>
  </cols>
  <sheetData>
    <row r="1" spans="1:37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7" x14ac:dyDescent="0.25">
      <c r="C2" s="107" t="s">
        <v>0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O2" s="98" t="s">
        <v>438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7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AE3" s="51"/>
    </row>
    <row r="4" spans="1:37" x14ac:dyDescent="0.25">
      <c r="A4" s="99" t="s">
        <v>1</v>
      </c>
      <c r="B4" s="100"/>
      <c r="C4" s="108"/>
      <c r="D4" s="110" t="s">
        <v>2</v>
      </c>
      <c r="E4" s="110"/>
      <c r="F4" s="110"/>
      <c r="G4" s="110"/>
      <c r="H4" s="110"/>
      <c r="I4" s="110"/>
      <c r="J4" s="110"/>
      <c r="K4" s="110"/>
      <c r="O4" s="99" t="s">
        <v>1</v>
      </c>
      <c r="P4" s="100"/>
      <c r="Q4" s="100"/>
      <c r="R4" s="100"/>
      <c r="S4" s="108"/>
      <c r="T4" s="110" t="s">
        <v>2</v>
      </c>
      <c r="U4" s="110"/>
      <c r="V4" s="110"/>
      <c r="W4" s="110"/>
      <c r="X4" s="110"/>
      <c r="Y4" s="110"/>
      <c r="Z4" s="110"/>
      <c r="AA4" s="110"/>
      <c r="AD4" s="62"/>
      <c r="AE4" s="52"/>
    </row>
    <row r="5" spans="1:37" x14ac:dyDescent="0.25">
      <c r="A5" s="101"/>
      <c r="B5" s="102"/>
      <c r="C5" s="109"/>
      <c r="D5" s="110"/>
      <c r="E5" s="110"/>
      <c r="F5" s="110"/>
      <c r="G5" s="110"/>
      <c r="H5" s="110"/>
      <c r="I5" s="110"/>
      <c r="J5" s="110"/>
      <c r="K5" s="110"/>
      <c r="O5" s="101"/>
      <c r="P5" s="102"/>
      <c r="Q5" s="102"/>
      <c r="R5" s="102"/>
      <c r="S5" s="109"/>
      <c r="T5" s="110"/>
      <c r="U5" s="110"/>
      <c r="V5" s="110"/>
      <c r="W5" s="110"/>
      <c r="X5" s="110"/>
      <c r="Y5" s="110"/>
      <c r="Z5" s="110"/>
      <c r="AA5" s="110"/>
      <c r="AD5" s="62"/>
      <c r="AE5" s="52"/>
    </row>
    <row r="6" spans="1:37" ht="112.5" customHeight="1" x14ac:dyDescent="0.25">
      <c r="A6" s="103"/>
      <c r="B6" s="104"/>
      <c r="C6" s="105"/>
      <c r="D6" s="2" t="s">
        <v>12</v>
      </c>
      <c r="E6" s="2" t="s">
        <v>270</v>
      </c>
      <c r="F6" s="2" t="s">
        <v>13</v>
      </c>
      <c r="G6" s="2" t="s">
        <v>11</v>
      </c>
      <c r="H6" s="2" t="s">
        <v>10</v>
      </c>
      <c r="I6" s="2" t="s">
        <v>3</v>
      </c>
      <c r="J6" s="2" t="s">
        <v>5</v>
      </c>
      <c r="K6" s="2" t="s">
        <v>6</v>
      </c>
      <c r="O6" s="103"/>
      <c r="P6" s="104"/>
      <c r="Q6" s="104"/>
      <c r="R6" s="104"/>
      <c r="S6" s="105"/>
      <c r="T6" s="16" t="s">
        <v>12</v>
      </c>
      <c r="U6" s="16" t="s">
        <v>270</v>
      </c>
      <c r="V6" s="16" t="s">
        <v>13</v>
      </c>
      <c r="W6" s="16" t="s">
        <v>11</v>
      </c>
      <c r="X6" s="16" t="s">
        <v>10</v>
      </c>
      <c r="Y6" s="16" t="s">
        <v>3</v>
      </c>
      <c r="Z6" s="16" t="s">
        <v>5</v>
      </c>
      <c r="AA6" s="16" t="s">
        <v>6</v>
      </c>
      <c r="AD6" s="33"/>
    </row>
    <row r="7" spans="1:37" ht="45" customHeight="1" x14ac:dyDescent="0.25">
      <c r="A7" s="106" t="s">
        <v>7</v>
      </c>
      <c r="B7" s="106"/>
      <c r="C7" s="106"/>
      <c r="D7" s="6">
        <f>25-1</f>
        <v>24</v>
      </c>
      <c r="E7" s="3">
        <f>'по детям'!D10</f>
        <v>12130</v>
      </c>
      <c r="F7" s="5">
        <f>D7/18</f>
        <v>1.3333333333333333</v>
      </c>
      <c r="G7" s="6">
        <v>1.1599999999999999</v>
      </c>
      <c r="H7" s="6">
        <f>ROUND(E7/0.7-E7,0)</f>
        <v>5199</v>
      </c>
      <c r="I7" s="4">
        <v>12</v>
      </c>
      <c r="J7" s="4">
        <v>1.302</v>
      </c>
      <c r="K7" s="5">
        <f>ROUND((((E7*G7+H7)*F7)*I7*J7)/1000,2)</f>
        <v>401.43</v>
      </c>
      <c r="O7" s="106" t="s">
        <v>7</v>
      </c>
      <c r="P7" s="106"/>
      <c r="Q7" s="106"/>
      <c r="R7" s="106"/>
      <c r="S7" s="106"/>
      <c r="T7" s="6">
        <v>8</v>
      </c>
      <c r="U7" s="3">
        <f>'по детям'!D10</f>
        <v>12130</v>
      </c>
      <c r="V7" s="5">
        <f>T7/18</f>
        <v>0.44444444444444442</v>
      </c>
      <c r="W7" s="6">
        <v>1.1599999999999999</v>
      </c>
      <c r="X7" s="6">
        <v>0</v>
      </c>
      <c r="Y7" s="4">
        <v>12</v>
      </c>
      <c r="Z7" s="4">
        <v>1.302</v>
      </c>
      <c r="AA7" s="5">
        <f>ROUND((((U7*W7+X7)*V7)*Y7*Z7)/1000,2)</f>
        <v>97.71</v>
      </c>
      <c r="AD7" s="36"/>
    </row>
    <row r="8" spans="1:37" ht="45" customHeight="1" x14ac:dyDescent="0.25">
      <c r="A8" s="97" t="s">
        <v>8</v>
      </c>
      <c r="B8" s="97"/>
      <c r="C8" s="97"/>
      <c r="D8" s="6">
        <f>34-1</f>
        <v>33</v>
      </c>
      <c r="E8" s="3">
        <f>вечерние!D11</f>
        <v>12130</v>
      </c>
      <c r="F8" s="5">
        <f>D8/18</f>
        <v>1.8333333333333333</v>
      </c>
      <c r="G8" s="6">
        <v>1.1399999999999999</v>
      </c>
      <c r="H8" s="6">
        <f>ROUND(E8/0.7-E8,0)</f>
        <v>5199</v>
      </c>
      <c r="I8" s="4">
        <v>12</v>
      </c>
      <c r="J8" s="4">
        <v>1.302</v>
      </c>
      <c r="K8" s="5">
        <f>ROUND((((E8*G8+H8)*F8)*I8*J8)/1000,2)</f>
        <v>545.02</v>
      </c>
      <c r="O8" s="97" t="s">
        <v>8</v>
      </c>
      <c r="P8" s="97"/>
      <c r="Q8" s="97"/>
      <c r="R8" s="97"/>
      <c r="S8" s="97"/>
      <c r="T8" s="6">
        <v>11</v>
      </c>
      <c r="U8" s="3">
        <f>'по детям'!D10</f>
        <v>12130</v>
      </c>
      <c r="V8" s="5">
        <f>T8/18</f>
        <v>0.61111111111111116</v>
      </c>
      <c r="W8" s="6">
        <v>1.1399999999999999</v>
      </c>
      <c r="X8" s="6">
        <v>0</v>
      </c>
      <c r="Y8" s="4">
        <v>12</v>
      </c>
      <c r="Z8" s="4">
        <v>1.302</v>
      </c>
      <c r="AA8" s="5">
        <f>ROUND((((U8*W8+X8)*V8)*Y8*Z8)/1000,2)</f>
        <v>132.03</v>
      </c>
      <c r="AD8" s="36"/>
    </row>
    <row r="9" spans="1:37" ht="45" customHeight="1" x14ac:dyDescent="0.25">
      <c r="A9" s="97" t="s">
        <v>9</v>
      </c>
      <c r="B9" s="97"/>
      <c r="C9" s="97"/>
      <c r="D9" s="6">
        <v>36</v>
      </c>
      <c r="E9" s="3">
        <f>'по детям'!D10</f>
        <v>12130</v>
      </c>
      <c r="F9" s="5">
        <f>D9/18</f>
        <v>2</v>
      </c>
      <c r="G9" s="6">
        <v>1.1399999999999999</v>
      </c>
      <c r="H9" s="6">
        <f>ROUND(E9/0.7-E9,0)</f>
        <v>5199</v>
      </c>
      <c r="I9" s="4">
        <v>12</v>
      </c>
      <c r="J9" s="4">
        <v>1.302</v>
      </c>
      <c r="K9" s="5">
        <f>ROUND((((E9*G9+H9)*F9)*I9*J9)/1000,2)</f>
        <v>594.55999999999995</v>
      </c>
      <c r="O9" s="97" t="s">
        <v>9</v>
      </c>
      <c r="P9" s="97"/>
      <c r="Q9" s="97"/>
      <c r="R9" s="97"/>
      <c r="S9" s="97"/>
      <c r="T9" s="6">
        <v>12</v>
      </c>
      <c r="U9" s="3">
        <f>'по детям'!D10</f>
        <v>12130</v>
      </c>
      <c r="V9" s="5">
        <f>T9/18</f>
        <v>0.66666666666666663</v>
      </c>
      <c r="W9" s="6">
        <v>1.1399999999999999</v>
      </c>
      <c r="X9" s="6">
        <v>0</v>
      </c>
      <c r="Y9" s="4">
        <v>12</v>
      </c>
      <c r="Z9" s="4">
        <v>1.302</v>
      </c>
      <c r="AA9" s="5">
        <f>ROUND((((U9*W9+X9)*V9)*Y9*Z9)/1000,2)</f>
        <v>144.03</v>
      </c>
      <c r="AD9" s="36"/>
    </row>
    <row r="11" spans="1:37" ht="15" customHeight="1" x14ac:dyDescent="0.25"/>
    <row r="12" spans="1:37" ht="15" customHeight="1" x14ac:dyDescent="0.25">
      <c r="A12" s="111" t="s">
        <v>264</v>
      </c>
      <c r="B12" s="116"/>
      <c r="C12" s="112" t="s">
        <v>265</v>
      </c>
      <c r="D12" s="116" t="s">
        <v>271</v>
      </c>
      <c r="E12" s="116"/>
      <c r="F12" s="116"/>
      <c r="G12" s="116"/>
      <c r="H12" s="116" t="s">
        <v>439</v>
      </c>
      <c r="I12" s="116"/>
      <c r="J12" s="116"/>
      <c r="K12" s="116"/>
      <c r="L12" s="116" t="s">
        <v>442</v>
      </c>
      <c r="M12" s="116"/>
      <c r="N12" s="116"/>
      <c r="O12" s="116"/>
      <c r="P12" s="112" t="s">
        <v>269</v>
      </c>
      <c r="Q12" s="113" t="s">
        <v>274</v>
      </c>
      <c r="R12" s="91" t="s">
        <v>469</v>
      </c>
      <c r="S12" s="111" t="s">
        <v>17</v>
      </c>
      <c r="T12" s="111" t="s">
        <v>476</v>
      </c>
      <c r="U12" s="128" t="s">
        <v>261</v>
      </c>
      <c r="V12" s="112" t="s">
        <v>262</v>
      </c>
      <c r="W12" s="112" t="s">
        <v>266</v>
      </c>
      <c r="X12" s="112" t="s">
        <v>267</v>
      </c>
      <c r="Y12" s="127" t="s">
        <v>485</v>
      </c>
      <c r="Z12" s="112" t="s">
        <v>266</v>
      </c>
      <c r="AA12" s="111" t="s">
        <v>267</v>
      </c>
      <c r="AB12" s="48" t="s">
        <v>474</v>
      </c>
      <c r="AC12" s="49"/>
      <c r="AD12" s="49"/>
      <c r="AE12" s="49"/>
      <c r="AF12" s="50"/>
      <c r="AG12" s="48" t="s">
        <v>475</v>
      </c>
      <c r="AH12" s="49"/>
      <c r="AI12" s="49"/>
      <c r="AJ12" s="50"/>
      <c r="AK12" s="91" t="s">
        <v>469</v>
      </c>
    </row>
    <row r="13" spans="1:37" ht="81" customHeight="1" x14ac:dyDescent="0.25">
      <c r="A13" s="111"/>
      <c r="B13" s="116"/>
      <c r="C13" s="112"/>
      <c r="D13" s="15" t="s">
        <v>14</v>
      </c>
      <c r="E13" s="15" t="s">
        <v>15</v>
      </c>
      <c r="F13" s="15" t="s">
        <v>16</v>
      </c>
      <c r="G13" s="15" t="s">
        <v>272</v>
      </c>
      <c r="H13" s="15" t="s">
        <v>14</v>
      </c>
      <c r="I13" s="15" t="s">
        <v>15</v>
      </c>
      <c r="J13" s="15" t="s">
        <v>16</v>
      </c>
      <c r="K13" s="15" t="s">
        <v>272</v>
      </c>
      <c r="L13" s="15" t="s">
        <v>14</v>
      </c>
      <c r="M13" s="15" t="s">
        <v>15</v>
      </c>
      <c r="N13" s="15" t="s">
        <v>16</v>
      </c>
      <c r="O13" s="15" t="s">
        <v>272</v>
      </c>
      <c r="P13" s="112"/>
      <c r="Q13" s="115"/>
      <c r="R13" s="93"/>
      <c r="S13" s="111"/>
      <c r="T13" s="111"/>
      <c r="U13" s="128"/>
      <c r="V13" s="112"/>
      <c r="W13" s="112"/>
      <c r="X13" s="112"/>
      <c r="Y13" s="127"/>
      <c r="Z13" s="112"/>
      <c r="AA13" s="111"/>
      <c r="AB13" s="40" t="s">
        <v>506</v>
      </c>
      <c r="AC13" s="40" t="s">
        <v>434</v>
      </c>
      <c r="AD13" s="63" t="s">
        <v>495</v>
      </c>
      <c r="AE13" s="40" t="s">
        <v>435</v>
      </c>
      <c r="AF13" s="40" t="s">
        <v>437</v>
      </c>
      <c r="AG13" s="41" t="s">
        <v>444</v>
      </c>
      <c r="AH13" s="40" t="s">
        <v>434</v>
      </c>
      <c r="AI13" s="40" t="s">
        <v>435</v>
      </c>
      <c r="AJ13" s="40" t="s">
        <v>437</v>
      </c>
      <c r="AK13" s="93"/>
    </row>
    <row r="14" spans="1:37" x14ac:dyDescent="0.25">
      <c r="A14" s="8" t="s">
        <v>18</v>
      </c>
      <c r="B14" s="8" t="s">
        <v>263</v>
      </c>
      <c r="C14" s="8" t="s">
        <v>39</v>
      </c>
      <c r="D14" s="8">
        <v>3</v>
      </c>
      <c r="E14" s="8">
        <v>4</v>
      </c>
      <c r="F14" s="8">
        <v>1</v>
      </c>
      <c r="G14" s="8">
        <f>SUM(D14:F14)</f>
        <v>8</v>
      </c>
      <c r="I14" s="8">
        <v>1</v>
      </c>
      <c r="K14" s="8">
        <f>H14+I14+J14</f>
        <v>1</v>
      </c>
      <c r="L14" s="8">
        <v>1</v>
      </c>
      <c r="M14" s="8">
        <v>0</v>
      </c>
      <c r="N14" s="8">
        <v>0</v>
      </c>
      <c r="O14" s="8">
        <f>L14+M14+N14</f>
        <v>1</v>
      </c>
      <c r="P14" s="10">
        <v>1.8</v>
      </c>
      <c r="Q14" s="31">
        <v>1.25</v>
      </c>
      <c r="R14" s="66">
        <f>IF(A14='Свод по районам'!$A$6,'Свод по районам'!$G$6,0)</f>
        <v>1.3223315990626403</v>
      </c>
      <c r="S14" s="22">
        <f>ROUND(((D14*$K$7+E14*$K$8+F14*$K$9)+(H14*$AA$7+I14*$AA$8+J14*$AA$9)+(L14*'по детям'!$K$10*0.2+M14*'по детям'!$K$11*0.2+N14*'по детям'!$K$12*0.2))*P14*Q14/1.302/12,1)</f>
        <v>592.5</v>
      </c>
      <c r="T14" s="12">
        <f>S14/AK14</f>
        <v>509.88047808764941</v>
      </c>
      <c r="U14" s="11">
        <v>351.51100000000002</v>
      </c>
      <c r="V14" s="12">
        <f>S14-U14</f>
        <v>240.98899999999998</v>
      </c>
      <c r="W14" s="12">
        <f t="shared" ref="W14:W78" si="0">IF(V14&gt;0,V14,0)</f>
        <v>240.98899999999998</v>
      </c>
      <c r="X14" s="12">
        <f t="shared" ref="X14:X78" si="1">IF(V14&lt;0,V14,0)</f>
        <v>0</v>
      </c>
      <c r="Y14" s="20">
        <f>T14-U14</f>
        <v>158.36947808764938</v>
      </c>
      <c r="Z14" s="12">
        <f>IF(Y14&gt;0,Y14,0)</f>
        <v>158.36947808764938</v>
      </c>
      <c r="AA14" s="12">
        <f>IF(Y14&lt;0,Y14,0)</f>
        <v>0</v>
      </c>
      <c r="AB14" s="8">
        <v>12</v>
      </c>
      <c r="AC14" s="20">
        <f t="shared" ref="AC14:AC78" si="2">S14/AB14*1000</f>
        <v>49375</v>
      </c>
      <c r="AD14" s="20">
        <f>T14/AB14*1000</f>
        <v>42490.039840637452</v>
      </c>
      <c r="AE14" s="20">
        <f t="shared" ref="AE14:AE78" si="3">U14/AB14*1000</f>
        <v>29292.583333333336</v>
      </c>
      <c r="AF14" s="21">
        <f t="shared" ref="AF14:AF78" si="4">AC14-AE14</f>
        <v>20082.416666666664</v>
      </c>
      <c r="AG14" s="23">
        <f t="shared" ref="AG14:AG78" si="5">(D14*$F$7+E14*$F$8+F14*$F$9)+(H14*$V$7+I14*$V$8+J14*$V$9)</f>
        <v>13.944444444444443</v>
      </c>
      <c r="AH14" s="20">
        <f t="shared" ref="AH14:AH78" si="6">S14/AG14*1000</f>
        <v>42490.039840637459</v>
      </c>
      <c r="AI14" s="20">
        <f t="shared" ref="AI14:AI78" si="7">U14/AG14*1000</f>
        <v>25207.960159362552</v>
      </c>
      <c r="AJ14" s="20">
        <f>AH14-AI14</f>
        <v>17282.079681274907</v>
      </c>
      <c r="AK14" s="47">
        <f t="shared" ref="AK14:AK78" si="8">AG14/AB14</f>
        <v>1.162037037037037</v>
      </c>
    </row>
    <row r="15" spans="1:37" x14ac:dyDescent="0.25">
      <c r="A15" s="8" t="s">
        <v>18</v>
      </c>
      <c r="B15" s="8" t="s">
        <v>263</v>
      </c>
      <c r="C15" s="8" t="s">
        <v>40</v>
      </c>
      <c r="D15" s="8">
        <v>4</v>
      </c>
      <c r="E15" s="8">
        <v>3</v>
      </c>
      <c r="F15" s="8">
        <v>1</v>
      </c>
      <c r="G15" s="8">
        <f t="shared" ref="G15:G79" si="9">SUM(D15:F15)</f>
        <v>8</v>
      </c>
      <c r="H15" s="8">
        <v>1</v>
      </c>
      <c r="K15" s="8">
        <f t="shared" ref="K15:K79" si="10">H15+I15+J15</f>
        <v>1</v>
      </c>
      <c r="L15" s="8">
        <v>1</v>
      </c>
      <c r="M15" s="8">
        <v>0</v>
      </c>
      <c r="N15" s="8">
        <v>0</v>
      </c>
      <c r="O15" s="8">
        <f t="shared" ref="O15:O79" si="11">L15+M15+N15</f>
        <v>1</v>
      </c>
      <c r="P15" s="31">
        <v>1.8</v>
      </c>
      <c r="Q15" s="31">
        <v>1.25</v>
      </c>
      <c r="R15" s="66">
        <f>IF(A15='Свод по районам'!$A$6,'Свод по районам'!$G$6,0)</f>
        <v>1.3223315990626403</v>
      </c>
      <c r="S15" s="76">
        <f>ROUND(((D15*$K$7+E15*$K$8+F15*$K$9)+(H15*$AA$7+I15*$AA$8+J15*$AA$9)+(L15*'по детям'!$K$10*0.2+M15*'по детям'!$K$11*0.2+N15*'по детям'!$K$12*0.2))*P15*Q15/1.302/12,1)</f>
        <v>566.9</v>
      </c>
      <c r="T15" s="12">
        <f t="shared" ref="T15:T79" si="12">S15/AK15</f>
        <v>469.64937238493724</v>
      </c>
      <c r="U15" s="11">
        <v>391.608</v>
      </c>
      <c r="V15" s="12">
        <f t="shared" ref="V15:V79" si="13">S15-U15</f>
        <v>175.29199999999997</v>
      </c>
      <c r="W15" s="12">
        <f t="shared" si="0"/>
        <v>175.29199999999997</v>
      </c>
      <c r="X15" s="12">
        <f t="shared" si="1"/>
        <v>0</v>
      </c>
      <c r="Y15" s="20">
        <f t="shared" ref="Y15:Y79" si="14">T15-U15</f>
        <v>78.041372384937233</v>
      </c>
      <c r="Z15" s="12">
        <f t="shared" ref="Z15:Z79" si="15">IF(Y15&gt;0,Y15,0)</f>
        <v>78.041372384937233</v>
      </c>
      <c r="AA15" s="12">
        <f t="shared" ref="AA15:AA79" si="16">IF(Y15&lt;0,Y15,0)</f>
        <v>0</v>
      </c>
      <c r="AB15" s="8">
        <v>11</v>
      </c>
      <c r="AC15" s="20">
        <f t="shared" si="2"/>
        <v>51536.363636363632</v>
      </c>
      <c r="AD15" s="20">
        <f t="shared" ref="AD15:AD79" si="17">T15/AB15*1000</f>
        <v>42695.397489539748</v>
      </c>
      <c r="AE15" s="20">
        <f t="shared" si="3"/>
        <v>35600.727272727279</v>
      </c>
      <c r="AF15" s="21">
        <f t="shared" si="4"/>
        <v>15935.636363636353</v>
      </c>
      <c r="AG15" s="23">
        <f t="shared" si="5"/>
        <v>13.277777777777777</v>
      </c>
      <c r="AH15" s="20">
        <f t="shared" si="6"/>
        <v>42695.397489539748</v>
      </c>
      <c r="AI15" s="20">
        <f t="shared" si="7"/>
        <v>29493.489539748956</v>
      </c>
      <c r="AJ15" s="20">
        <f t="shared" ref="AJ15:AJ79" si="18">AH15-AI15</f>
        <v>13201.907949790791</v>
      </c>
      <c r="AK15" s="47">
        <f t="shared" si="8"/>
        <v>1.207070707070707</v>
      </c>
    </row>
    <row r="16" spans="1:37" x14ac:dyDescent="0.25">
      <c r="A16" s="8" t="s">
        <v>18</v>
      </c>
      <c r="C16" s="8" t="s">
        <v>41</v>
      </c>
      <c r="D16" s="8">
        <v>4</v>
      </c>
      <c r="E16" s="8">
        <v>5</v>
      </c>
      <c r="F16" s="8">
        <v>1</v>
      </c>
      <c r="G16" s="8">
        <f t="shared" si="9"/>
        <v>10</v>
      </c>
      <c r="H16" s="8">
        <v>2</v>
      </c>
      <c r="K16" s="8">
        <f t="shared" si="10"/>
        <v>2</v>
      </c>
      <c r="L16" s="8">
        <v>1</v>
      </c>
      <c r="M16" s="8">
        <v>1</v>
      </c>
      <c r="N16" s="8">
        <v>0</v>
      </c>
      <c r="O16" s="8">
        <f t="shared" si="11"/>
        <v>2</v>
      </c>
      <c r="P16" s="31">
        <v>1.8</v>
      </c>
      <c r="Q16" s="31">
        <v>1.25</v>
      </c>
      <c r="R16" s="66">
        <f>IF(A16='Свод по районам'!$A$6,'Свод по районам'!$G$6,0)</f>
        <v>1.3223315990626403</v>
      </c>
      <c r="S16" s="76">
        <f>ROUND(((D16*$K$7+E16*$K$8+F16*$K$9)+(H16*$AA$7+I16*$AA$8+J16*$AA$9)+(L16*'по детям'!$K$10*0.2+M16*'по детям'!$K$11*0.2+N16*'по детям'!$K$12*0.2))*P16*Q16/1.302/12,1)</f>
        <v>738.8</v>
      </c>
      <c r="T16" s="12">
        <f t="shared" si="12"/>
        <v>509.8428115015974</v>
      </c>
      <c r="U16" s="11">
        <v>429.83700000000005</v>
      </c>
      <c r="V16" s="12">
        <f t="shared" si="13"/>
        <v>308.96299999999991</v>
      </c>
      <c r="W16" s="12">
        <f t="shared" si="0"/>
        <v>308.96299999999991</v>
      </c>
      <c r="X16" s="12">
        <f t="shared" si="1"/>
        <v>0</v>
      </c>
      <c r="Y16" s="20">
        <f t="shared" si="14"/>
        <v>80.00581150159735</v>
      </c>
      <c r="Z16" s="12">
        <f t="shared" si="15"/>
        <v>80.00581150159735</v>
      </c>
      <c r="AA16" s="12">
        <f t="shared" si="16"/>
        <v>0</v>
      </c>
      <c r="AB16" s="8">
        <v>12</v>
      </c>
      <c r="AC16" s="20">
        <f t="shared" si="2"/>
        <v>61566.666666666664</v>
      </c>
      <c r="AD16" s="20">
        <f t="shared" si="17"/>
        <v>42486.900958466453</v>
      </c>
      <c r="AE16" s="20">
        <f t="shared" si="3"/>
        <v>35819.750000000007</v>
      </c>
      <c r="AF16" s="21">
        <f t="shared" si="4"/>
        <v>25746.916666666657</v>
      </c>
      <c r="AG16" s="23">
        <f t="shared" si="5"/>
        <v>17.388888888888889</v>
      </c>
      <c r="AH16" s="20">
        <f t="shared" si="6"/>
        <v>42486.900958466453</v>
      </c>
      <c r="AI16" s="20">
        <f t="shared" si="7"/>
        <v>24719.060702875402</v>
      </c>
      <c r="AJ16" s="20">
        <f t="shared" si="18"/>
        <v>17767.840255591051</v>
      </c>
      <c r="AK16" s="47">
        <f t="shared" si="8"/>
        <v>1.4490740740740742</v>
      </c>
    </row>
    <row r="17" spans="1:37" x14ac:dyDescent="0.25">
      <c r="A17" s="8" t="s">
        <v>18</v>
      </c>
      <c r="C17" s="8" t="s">
        <v>42</v>
      </c>
      <c r="D17" s="8">
        <v>4</v>
      </c>
      <c r="E17" s="8">
        <v>5</v>
      </c>
      <c r="F17" s="8">
        <v>1</v>
      </c>
      <c r="G17" s="8">
        <f t="shared" si="9"/>
        <v>10</v>
      </c>
      <c r="H17" s="8">
        <v>2</v>
      </c>
      <c r="I17" s="8">
        <v>2</v>
      </c>
      <c r="K17" s="8">
        <f t="shared" si="10"/>
        <v>4</v>
      </c>
      <c r="L17" s="8">
        <v>0</v>
      </c>
      <c r="M17" s="8">
        <v>0</v>
      </c>
      <c r="N17" s="8">
        <v>0</v>
      </c>
      <c r="O17" s="8">
        <f t="shared" si="11"/>
        <v>0</v>
      </c>
      <c r="P17" s="31">
        <v>1.8</v>
      </c>
      <c r="Q17" s="31">
        <v>1.25</v>
      </c>
      <c r="R17" s="66">
        <f>IF(A17='Свод по районам'!$A$6,'Свод по районам'!$G$6,0)</f>
        <v>1.3223315990626403</v>
      </c>
      <c r="S17" s="76">
        <f>ROUND(((D17*$K$7+E17*$K$8+F17*$K$9)+(H17*$AA$7+I17*$AA$8+J17*$AA$9)+(L17*'по детям'!$K$10*0.2+M17*'по детям'!$K$11*0.2+N17*'по детям'!$K$12*0.2))*P17*Q17/1.302/12,1)</f>
        <v>775.5</v>
      </c>
      <c r="T17" s="12">
        <f t="shared" si="12"/>
        <v>470.85582089552241</v>
      </c>
      <c r="U17" s="11">
        <v>410.53900000000004</v>
      </c>
      <c r="V17" s="12">
        <f t="shared" si="13"/>
        <v>364.96099999999996</v>
      </c>
      <c r="W17" s="12">
        <f t="shared" si="0"/>
        <v>364.96099999999996</v>
      </c>
      <c r="X17" s="12">
        <f t="shared" si="1"/>
        <v>0</v>
      </c>
      <c r="Y17" s="20">
        <f t="shared" si="14"/>
        <v>60.316820895522369</v>
      </c>
      <c r="Z17" s="12">
        <f t="shared" si="15"/>
        <v>60.316820895522369</v>
      </c>
      <c r="AA17" s="12">
        <f t="shared" si="16"/>
        <v>0</v>
      </c>
      <c r="AB17" s="8">
        <v>11.3</v>
      </c>
      <c r="AC17" s="20">
        <f t="shared" si="2"/>
        <v>68628.318584070803</v>
      </c>
      <c r="AD17" s="20">
        <f t="shared" si="17"/>
        <v>41668.656716417907</v>
      </c>
      <c r="AE17" s="20">
        <f t="shared" si="3"/>
        <v>36330.884955752212</v>
      </c>
      <c r="AF17" s="21">
        <f t="shared" si="4"/>
        <v>32297.433628318591</v>
      </c>
      <c r="AG17" s="23">
        <f t="shared" si="5"/>
        <v>18.611111111111111</v>
      </c>
      <c r="AH17" s="20">
        <f t="shared" si="6"/>
        <v>41668.656716417914</v>
      </c>
      <c r="AI17" s="20">
        <f t="shared" si="7"/>
        <v>22058.81194029851</v>
      </c>
      <c r="AJ17" s="20">
        <f t="shared" si="18"/>
        <v>19609.844776119404</v>
      </c>
      <c r="AK17" s="47">
        <f t="shared" si="8"/>
        <v>1.647000983284169</v>
      </c>
    </row>
    <row r="18" spans="1:37" x14ac:dyDescent="0.25">
      <c r="A18" s="8" t="s">
        <v>18</v>
      </c>
      <c r="B18" s="8" t="s">
        <v>263</v>
      </c>
      <c r="C18" s="8" t="s">
        <v>43</v>
      </c>
      <c r="D18" s="8">
        <v>4</v>
      </c>
      <c r="E18" s="8">
        <v>4</v>
      </c>
      <c r="G18" s="8">
        <f t="shared" si="9"/>
        <v>8</v>
      </c>
      <c r="K18" s="8">
        <f t="shared" si="10"/>
        <v>0</v>
      </c>
      <c r="L18" s="8">
        <v>1</v>
      </c>
      <c r="M18" s="8">
        <v>2</v>
      </c>
      <c r="N18" s="8">
        <v>0</v>
      </c>
      <c r="O18" s="8">
        <f t="shared" si="11"/>
        <v>3</v>
      </c>
      <c r="P18" s="31">
        <v>1.8</v>
      </c>
      <c r="Q18" s="31">
        <v>1.25</v>
      </c>
      <c r="R18" s="66">
        <f>IF(A18='Свод по районам'!$A$6,'Свод по районам'!$G$6,0)</f>
        <v>1.3223315990626403</v>
      </c>
      <c r="S18" s="76">
        <f>ROUND(((D18*$K$7+E18*$K$8+F18*$K$9)+(H18*$AA$7+I18*$AA$8+J18*$AA$9)+(L18*'по детям'!$K$10*0.2+M18*'по детям'!$K$11*0.2+N18*'по детям'!$K$12*0.2))*P18*Q18/1.302/12,1)</f>
        <v>547.29999999999995</v>
      </c>
      <c r="T18" s="12">
        <f t="shared" si="12"/>
        <v>419.1165789473684</v>
      </c>
      <c r="U18" s="11">
        <v>401.91799999999995</v>
      </c>
      <c r="V18" s="12">
        <f t="shared" si="13"/>
        <v>145.38200000000001</v>
      </c>
      <c r="W18" s="12">
        <f t="shared" si="0"/>
        <v>145.38200000000001</v>
      </c>
      <c r="X18" s="12">
        <f t="shared" si="1"/>
        <v>0</v>
      </c>
      <c r="Y18" s="20">
        <f t="shared" si="14"/>
        <v>17.198578947368446</v>
      </c>
      <c r="Z18" s="12">
        <f t="shared" si="15"/>
        <v>17.198578947368446</v>
      </c>
      <c r="AA18" s="12">
        <f t="shared" si="16"/>
        <v>0</v>
      </c>
      <c r="AB18" s="8">
        <v>9.6999999999999993</v>
      </c>
      <c r="AC18" s="20">
        <f t="shared" si="2"/>
        <v>56422.680412371134</v>
      </c>
      <c r="AD18" s="20">
        <f t="shared" si="17"/>
        <v>43207.894736842107</v>
      </c>
      <c r="AE18" s="20">
        <f t="shared" si="3"/>
        <v>41434.845360824736</v>
      </c>
      <c r="AF18" s="21">
        <f t="shared" si="4"/>
        <v>14987.835051546397</v>
      </c>
      <c r="AG18" s="23">
        <f t="shared" si="5"/>
        <v>12.666666666666666</v>
      </c>
      <c r="AH18" s="20">
        <f t="shared" si="6"/>
        <v>43207.894736842107</v>
      </c>
      <c r="AI18" s="20">
        <f t="shared" si="7"/>
        <v>31730.368421052626</v>
      </c>
      <c r="AJ18" s="20">
        <f t="shared" si="18"/>
        <v>11477.526315789481</v>
      </c>
      <c r="AK18" s="47">
        <f t="shared" si="8"/>
        <v>1.3058419243986255</v>
      </c>
    </row>
    <row r="19" spans="1:37" x14ac:dyDescent="0.25">
      <c r="A19" s="8" t="s">
        <v>18</v>
      </c>
      <c r="C19" s="8" t="s">
        <v>44</v>
      </c>
      <c r="D19" s="8">
        <v>3</v>
      </c>
      <c r="E19" s="8">
        <v>5</v>
      </c>
      <c r="G19" s="8">
        <f t="shared" si="9"/>
        <v>8</v>
      </c>
      <c r="K19" s="8">
        <f t="shared" si="10"/>
        <v>0</v>
      </c>
      <c r="L19" s="8">
        <v>0</v>
      </c>
      <c r="M19" s="8">
        <v>1</v>
      </c>
      <c r="N19" s="8">
        <v>0</v>
      </c>
      <c r="O19" s="8">
        <f t="shared" si="11"/>
        <v>1</v>
      </c>
      <c r="P19" s="31">
        <v>1.8</v>
      </c>
      <c r="Q19" s="31">
        <v>1.25</v>
      </c>
      <c r="R19" s="66">
        <f>IF(A19='Свод по районам'!$A$6,'Свод по районам'!$G$6,0)</f>
        <v>1.3223315990626403</v>
      </c>
      <c r="S19" s="76">
        <f>ROUND(((D19*$K$7+E19*$K$8+F19*$K$9)+(H19*$AA$7+I19*$AA$8+J19*$AA$9)+(L19*'по детям'!$K$10*0.2+M19*'по детям'!$K$11*0.2+N19*'по детям'!$K$12*0.2))*P19*Q19/1.302/12,1)</f>
        <v>566.70000000000005</v>
      </c>
      <c r="T19" s="12">
        <f t="shared" si="12"/>
        <v>473.4455696202532</v>
      </c>
      <c r="U19" s="11">
        <v>309.423</v>
      </c>
      <c r="V19" s="12">
        <f t="shared" si="13"/>
        <v>257.27700000000004</v>
      </c>
      <c r="W19" s="12">
        <f t="shared" si="0"/>
        <v>257.27700000000004</v>
      </c>
      <c r="X19" s="12">
        <f t="shared" si="1"/>
        <v>0</v>
      </c>
      <c r="Y19" s="20">
        <f t="shared" si="14"/>
        <v>164.02256962025319</v>
      </c>
      <c r="Z19" s="12">
        <f t="shared" si="15"/>
        <v>164.02256962025319</v>
      </c>
      <c r="AA19" s="12">
        <f t="shared" si="16"/>
        <v>0</v>
      </c>
      <c r="AB19" s="8">
        <v>11</v>
      </c>
      <c r="AC19" s="20">
        <f t="shared" si="2"/>
        <v>51518.181818181823</v>
      </c>
      <c r="AD19" s="20">
        <f t="shared" si="17"/>
        <v>43040.506329113923</v>
      </c>
      <c r="AE19" s="20">
        <f t="shared" si="3"/>
        <v>28129.363636363636</v>
      </c>
      <c r="AF19" s="21">
        <f t="shared" si="4"/>
        <v>23388.818181818187</v>
      </c>
      <c r="AG19" s="23">
        <f t="shared" si="5"/>
        <v>13.166666666666666</v>
      </c>
      <c r="AH19" s="20">
        <f t="shared" si="6"/>
        <v>43040.50632911393</v>
      </c>
      <c r="AI19" s="20">
        <f t="shared" si="7"/>
        <v>23500.481012658231</v>
      </c>
      <c r="AJ19" s="20">
        <f t="shared" si="18"/>
        <v>19540.0253164557</v>
      </c>
      <c r="AK19" s="47">
        <f t="shared" si="8"/>
        <v>1.196969696969697</v>
      </c>
    </row>
    <row r="20" spans="1:37" x14ac:dyDescent="0.25">
      <c r="A20" s="8" t="s">
        <v>18</v>
      </c>
      <c r="B20" s="8" t="s">
        <v>263</v>
      </c>
      <c r="C20" s="8" t="s">
        <v>45</v>
      </c>
      <c r="D20" s="8">
        <v>3</v>
      </c>
      <c r="E20" s="8">
        <v>4</v>
      </c>
      <c r="G20" s="8">
        <f t="shared" si="9"/>
        <v>7</v>
      </c>
      <c r="H20" s="8">
        <v>2</v>
      </c>
      <c r="I20" s="8">
        <v>1</v>
      </c>
      <c r="K20" s="8">
        <f t="shared" si="10"/>
        <v>3</v>
      </c>
      <c r="L20" s="8">
        <v>0</v>
      </c>
      <c r="M20" s="8">
        <v>0</v>
      </c>
      <c r="N20" s="8">
        <v>0</v>
      </c>
      <c r="O20" s="8">
        <f t="shared" si="11"/>
        <v>0</v>
      </c>
      <c r="P20" s="31">
        <v>1.8</v>
      </c>
      <c r="Q20" s="31">
        <v>1.25</v>
      </c>
      <c r="R20" s="66">
        <f>IF(A20='Свод по районам'!$A$6,'Свод по районам'!$G$6,0)</f>
        <v>1.3223315990626403</v>
      </c>
      <c r="S20" s="76">
        <f>ROUND(((D20*$K$7+E20*$K$8+F20*$K$9)+(H20*$AA$7+I20*$AA$8+J20*$AA$9)+(L20*'по детям'!$K$10*0.2+M20*'по детям'!$K$11*0.2+N20*'по детям'!$K$12*0.2))*P20*Q20/1.302/12,1)</f>
        <v>534.5</v>
      </c>
      <c r="T20" s="12">
        <f t="shared" si="12"/>
        <v>333.19480519480521</v>
      </c>
      <c r="U20" s="11">
        <v>404.46300000000002</v>
      </c>
      <c r="V20" s="12">
        <f t="shared" si="13"/>
        <v>130.03699999999998</v>
      </c>
      <c r="W20" s="12">
        <f t="shared" si="0"/>
        <v>130.03699999999998</v>
      </c>
      <c r="X20" s="12">
        <f t="shared" si="1"/>
        <v>0</v>
      </c>
      <c r="Y20" s="20">
        <f t="shared" si="14"/>
        <v>-71.26819480519481</v>
      </c>
      <c r="Z20" s="12">
        <f t="shared" si="15"/>
        <v>0</v>
      </c>
      <c r="AA20" s="12">
        <f t="shared" si="16"/>
        <v>-71.26819480519481</v>
      </c>
      <c r="AB20" s="8">
        <v>8</v>
      </c>
      <c r="AC20" s="20">
        <f t="shared" si="2"/>
        <v>66812.5</v>
      </c>
      <c r="AD20" s="20">
        <f t="shared" si="17"/>
        <v>41649.35064935065</v>
      </c>
      <c r="AE20" s="20">
        <f t="shared" si="3"/>
        <v>50557.875</v>
      </c>
      <c r="AF20" s="21">
        <f t="shared" si="4"/>
        <v>16254.625</v>
      </c>
      <c r="AG20" s="23">
        <f t="shared" si="5"/>
        <v>12.833333333333332</v>
      </c>
      <c r="AH20" s="20">
        <f t="shared" si="6"/>
        <v>41649.35064935065</v>
      </c>
      <c r="AI20" s="20">
        <f t="shared" si="7"/>
        <v>31516.59740259741</v>
      </c>
      <c r="AJ20" s="20">
        <f t="shared" si="18"/>
        <v>10132.75324675324</v>
      </c>
      <c r="AK20" s="47">
        <f t="shared" si="8"/>
        <v>1.6041666666666665</v>
      </c>
    </row>
    <row r="21" spans="1:37" x14ac:dyDescent="0.25">
      <c r="A21" s="8" t="s">
        <v>18</v>
      </c>
      <c r="B21" s="8" t="s">
        <v>263</v>
      </c>
      <c r="C21" s="8" t="s">
        <v>46</v>
      </c>
      <c r="D21" s="8">
        <v>2</v>
      </c>
      <c r="G21" s="8">
        <f t="shared" si="9"/>
        <v>2</v>
      </c>
      <c r="K21" s="8">
        <f t="shared" si="10"/>
        <v>0</v>
      </c>
      <c r="L21" s="8">
        <v>0</v>
      </c>
      <c r="M21" s="8">
        <v>0</v>
      </c>
      <c r="N21" s="8">
        <v>0</v>
      </c>
      <c r="O21" s="8">
        <f t="shared" si="11"/>
        <v>0</v>
      </c>
      <c r="P21" s="31">
        <v>1.8</v>
      </c>
      <c r="Q21" s="31">
        <v>1.25</v>
      </c>
      <c r="R21" s="66">
        <f>IF(A21='Свод по районам'!$A$6,'Свод по районам'!$G$6,0)</f>
        <v>1.3223315990626403</v>
      </c>
      <c r="S21" s="76">
        <f>ROUND(((D21*$K$7+E21*$K$8+F21*$K$9)+(H21*$AA$7+I21*$AA$8+J21*$AA$9)+(L21*'по детям'!$K$10*0.2+M21*'по детям'!$K$11*0.2+N21*'по детям'!$K$12*0.2))*P21*Q21/1.302/12,1)</f>
        <v>115.6</v>
      </c>
      <c r="T21" s="12">
        <f t="shared" si="12"/>
        <v>86.7</v>
      </c>
      <c r="U21" s="11">
        <v>108.30499999999999</v>
      </c>
      <c r="V21" s="12">
        <f t="shared" si="13"/>
        <v>7.2950000000000017</v>
      </c>
      <c r="W21" s="12">
        <f t="shared" si="0"/>
        <v>7.2950000000000017</v>
      </c>
      <c r="X21" s="12">
        <f t="shared" si="1"/>
        <v>0</v>
      </c>
      <c r="Y21" s="20">
        <f t="shared" si="14"/>
        <v>-21.60499999999999</v>
      </c>
      <c r="Z21" s="12">
        <f t="shared" si="15"/>
        <v>0</v>
      </c>
      <c r="AA21" s="12">
        <f t="shared" si="16"/>
        <v>-21.60499999999999</v>
      </c>
      <c r="AB21" s="8">
        <v>2</v>
      </c>
      <c r="AC21" s="20">
        <f t="shared" si="2"/>
        <v>57800</v>
      </c>
      <c r="AD21" s="20">
        <f t="shared" si="17"/>
        <v>43350</v>
      </c>
      <c r="AE21" s="20">
        <f t="shared" si="3"/>
        <v>54152.499999999993</v>
      </c>
      <c r="AF21" s="21">
        <f t="shared" si="4"/>
        <v>3647.5000000000073</v>
      </c>
      <c r="AG21" s="23">
        <f t="shared" si="5"/>
        <v>2.6666666666666665</v>
      </c>
      <c r="AH21" s="20">
        <f t="shared" si="6"/>
        <v>43350</v>
      </c>
      <c r="AI21" s="20">
        <f t="shared" si="7"/>
        <v>40614.375</v>
      </c>
      <c r="AJ21" s="20">
        <f t="shared" si="18"/>
        <v>2735.625</v>
      </c>
      <c r="AK21" s="47">
        <f t="shared" si="8"/>
        <v>1.3333333333333333</v>
      </c>
    </row>
    <row r="22" spans="1:37" x14ac:dyDescent="0.25">
      <c r="A22" s="8" t="s">
        <v>18</v>
      </c>
      <c r="B22" s="8" t="s">
        <v>263</v>
      </c>
      <c r="C22" s="8" t="s">
        <v>47</v>
      </c>
      <c r="D22" s="8">
        <v>1</v>
      </c>
      <c r="G22" s="8">
        <f t="shared" si="9"/>
        <v>1</v>
      </c>
      <c r="K22" s="8">
        <f t="shared" si="10"/>
        <v>0</v>
      </c>
      <c r="L22" s="8">
        <v>0</v>
      </c>
      <c r="M22" s="8">
        <v>0</v>
      </c>
      <c r="N22" s="8">
        <v>0</v>
      </c>
      <c r="O22" s="8">
        <f t="shared" si="11"/>
        <v>0</v>
      </c>
      <c r="P22" s="31">
        <v>1.8</v>
      </c>
      <c r="Q22" s="31">
        <v>1.25</v>
      </c>
      <c r="R22" s="66">
        <f>IF(A22='Свод по районам'!$A$6,'Свод по районам'!$G$6,0)</f>
        <v>1.3223315990626403</v>
      </c>
      <c r="S22" s="76">
        <f>ROUND(((D22*$K$7+E22*$K$8+F22*$K$9)+(H22*$AA$7+I22*$AA$8+J22*$AA$9)+(L22*'по детям'!$K$10*0.2+M22*'по детям'!$K$11*0.2+N22*'по детям'!$K$12*0.2))*P22*Q22/1.302/12,1)</f>
        <v>57.8</v>
      </c>
      <c r="T22" s="12">
        <f t="shared" si="12"/>
        <v>69.36</v>
      </c>
      <c r="U22" s="11">
        <v>52.275999999999996</v>
      </c>
      <c r="V22" s="12">
        <f t="shared" si="13"/>
        <v>5.5240000000000009</v>
      </c>
      <c r="W22" s="12">
        <f t="shared" si="0"/>
        <v>5.5240000000000009</v>
      </c>
      <c r="X22" s="12">
        <f t="shared" si="1"/>
        <v>0</v>
      </c>
      <c r="Y22" s="20">
        <f t="shared" si="14"/>
        <v>17.084000000000003</v>
      </c>
      <c r="Z22" s="12">
        <f t="shared" si="15"/>
        <v>17.084000000000003</v>
      </c>
      <c r="AA22" s="12">
        <f t="shared" si="16"/>
        <v>0</v>
      </c>
      <c r="AB22" s="8">
        <v>1.6</v>
      </c>
      <c r="AC22" s="20">
        <f t="shared" si="2"/>
        <v>36124.999999999993</v>
      </c>
      <c r="AD22" s="20">
        <f t="shared" si="17"/>
        <v>43349.999999999993</v>
      </c>
      <c r="AE22" s="20">
        <f t="shared" si="3"/>
        <v>32672.499999999993</v>
      </c>
      <c r="AF22" s="21">
        <f t="shared" si="4"/>
        <v>3452.5</v>
      </c>
      <c r="AG22" s="23">
        <f t="shared" si="5"/>
        <v>1.3333333333333333</v>
      </c>
      <c r="AH22" s="20">
        <f t="shared" si="6"/>
        <v>43350</v>
      </c>
      <c r="AI22" s="20">
        <f t="shared" si="7"/>
        <v>39207</v>
      </c>
      <c r="AJ22" s="20">
        <f t="shared" si="18"/>
        <v>4143</v>
      </c>
      <c r="AK22" s="47">
        <f t="shared" si="8"/>
        <v>0.83333333333333326</v>
      </c>
    </row>
    <row r="23" spans="1:37" x14ac:dyDescent="0.25">
      <c r="A23" s="8" t="s">
        <v>18</v>
      </c>
      <c r="B23" s="8" t="s">
        <v>263</v>
      </c>
      <c r="C23" s="8" t="s">
        <v>48</v>
      </c>
      <c r="D23" s="8">
        <v>1</v>
      </c>
      <c r="G23" s="8">
        <f t="shared" si="9"/>
        <v>1</v>
      </c>
      <c r="K23" s="8">
        <f t="shared" si="10"/>
        <v>0</v>
      </c>
      <c r="L23" s="8">
        <v>0</v>
      </c>
      <c r="M23" s="8">
        <v>0</v>
      </c>
      <c r="N23" s="8">
        <v>0</v>
      </c>
      <c r="O23" s="8">
        <f t="shared" si="11"/>
        <v>0</v>
      </c>
      <c r="P23" s="31">
        <v>1.8</v>
      </c>
      <c r="Q23" s="31">
        <v>1.25</v>
      </c>
      <c r="R23" s="66">
        <f>IF(A23='Свод по районам'!$A$6,'Свод по районам'!$G$6,0)</f>
        <v>1.3223315990626403</v>
      </c>
      <c r="S23" s="76">
        <f>ROUND(((D23*$K$7+E23*$K$8+F23*$K$9)+(H23*$AA$7+I23*$AA$8+J23*$AA$9)+(L23*'по детям'!$K$10*0.2+M23*'по детям'!$K$11*0.2+N23*'по детям'!$K$12*0.2))*P23*Q23/1.302/12,1)</f>
        <v>57.8</v>
      </c>
      <c r="T23" s="12">
        <f t="shared" si="12"/>
        <v>69.36</v>
      </c>
      <c r="U23" s="11">
        <v>50.713000000000001</v>
      </c>
      <c r="V23" s="12">
        <f t="shared" si="13"/>
        <v>7.0869999999999962</v>
      </c>
      <c r="W23" s="12">
        <f t="shared" si="0"/>
        <v>7.0869999999999962</v>
      </c>
      <c r="X23" s="12">
        <f t="shared" si="1"/>
        <v>0</v>
      </c>
      <c r="Y23" s="20">
        <f t="shared" si="14"/>
        <v>18.646999999999998</v>
      </c>
      <c r="Z23" s="12">
        <f t="shared" si="15"/>
        <v>18.646999999999998</v>
      </c>
      <c r="AA23" s="12">
        <f t="shared" si="16"/>
        <v>0</v>
      </c>
      <c r="AB23" s="8">
        <v>1.6</v>
      </c>
      <c r="AC23" s="20">
        <f t="shared" si="2"/>
        <v>36124.999999999993</v>
      </c>
      <c r="AD23" s="20">
        <f t="shared" si="17"/>
        <v>43349.999999999993</v>
      </c>
      <c r="AE23" s="20">
        <f t="shared" si="3"/>
        <v>31695.625</v>
      </c>
      <c r="AF23" s="21">
        <f t="shared" si="4"/>
        <v>4429.3749999999927</v>
      </c>
      <c r="AG23" s="23">
        <f t="shared" si="5"/>
        <v>1.3333333333333333</v>
      </c>
      <c r="AH23" s="20">
        <f t="shared" si="6"/>
        <v>43350</v>
      </c>
      <c r="AI23" s="20">
        <f t="shared" si="7"/>
        <v>38034.75</v>
      </c>
      <c r="AJ23" s="20">
        <f t="shared" si="18"/>
        <v>5315.25</v>
      </c>
      <c r="AK23" s="47">
        <f t="shared" si="8"/>
        <v>0.83333333333333326</v>
      </c>
    </row>
    <row r="24" spans="1:37" x14ac:dyDescent="0.25">
      <c r="A24" s="8" t="s">
        <v>19</v>
      </c>
      <c r="B24" s="8" t="s">
        <v>263</v>
      </c>
      <c r="C24" s="8" t="s">
        <v>49</v>
      </c>
      <c r="D24" s="8">
        <v>2</v>
      </c>
      <c r="E24" s="8">
        <v>2</v>
      </c>
      <c r="G24" s="8">
        <f t="shared" si="9"/>
        <v>4</v>
      </c>
      <c r="K24" s="8">
        <f t="shared" si="10"/>
        <v>0</v>
      </c>
      <c r="L24" s="8">
        <v>0</v>
      </c>
      <c r="M24" s="8">
        <v>1</v>
      </c>
      <c r="N24" s="8">
        <v>0</v>
      </c>
      <c r="O24" s="8">
        <f t="shared" si="11"/>
        <v>1</v>
      </c>
      <c r="P24" s="10">
        <v>2.2000000000000002</v>
      </c>
      <c r="Q24" s="31">
        <v>1.25</v>
      </c>
      <c r="R24" s="66">
        <f>IF(A24='Свод по районам'!$A$7,'Свод по районам'!$G$7,0)</f>
        <v>1.6565860580005747</v>
      </c>
      <c r="S24" s="76">
        <f>ROUND(((D24*$K$7+E24*$K$8+F24*$K$9)+(H24*$AA$7+I24*$AA$8+J24*$AA$9)+(L24*'по детям'!$K$10*0.2+M24*'по детям'!$K$11*0.2+N24*'по детям'!$K$12*0.2))*P24*Q24/1.302/12,1)</f>
        <v>334.1</v>
      </c>
      <c r="T24" s="12">
        <f t="shared" si="12"/>
        <v>158.2578947368421</v>
      </c>
      <c r="U24" s="11">
        <v>221.864</v>
      </c>
      <c r="V24" s="12">
        <f t="shared" si="13"/>
        <v>112.23600000000002</v>
      </c>
      <c r="W24" s="12">
        <f t="shared" si="0"/>
        <v>112.23600000000002</v>
      </c>
      <c r="X24" s="12">
        <f t="shared" si="1"/>
        <v>0</v>
      </c>
      <c r="Y24" s="20">
        <f t="shared" si="14"/>
        <v>-63.6061052631579</v>
      </c>
      <c r="Z24" s="12">
        <f t="shared" si="15"/>
        <v>0</v>
      </c>
      <c r="AA24" s="12">
        <f t="shared" si="16"/>
        <v>-63.6061052631579</v>
      </c>
      <c r="AB24" s="8">
        <v>3</v>
      </c>
      <c r="AC24" s="20">
        <f t="shared" si="2"/>
        <v>111366.66666666667</v>
      </c>
      <c r="AD24" s="20">
        <f t="shared" si="17"/>
        <v>52752.631578947367</v>
      </c>
      <c r="AE24" s="20">
        <f t="shared" si="3"/>
        <v>73954.666666666672</v>
      </c>
      <c r="AF24" s="21">
        <f t="shared" si="4"/>
        <v>37412</v>
      </c>
      <c r="AG24" s="23">
        <f t="shared" si="5"/>
        <v>6.333333333333333</v>
      </c>
      <c r="AH24" s="20">
        <f t="shared" si="6"/>
        <v>52752.631578947374</v>
      </c>
      <c r="AI24" s="20">
        <f t="shared" si="7"/>
        <v>35031.15789473684</v>
      </c>
      <c r="AJ24" s="20">
        <f t="shared" si="18"/>
        <v>17721.473684210534</v>
      </c>
      <c r="AK24" s="47">
        <f t="shared" si="8"/>
        <v>2.1111111111111112</v>
      </c>
    </row>
    <row r="25" spans="1:37" x14ac:dyDescent="0.25">
      <c r="A25" s="8" t="s">
        <v>19</v>
      </c>
      <c r="B25" s="8" t="s">
        <v>263</v>
      </c>
      <c r="C25" s="8" t="s">
        <v>50</v>
      </c>
      <c r="D25" s="8">
        <v>1</v>
      </c>
      <c r="G25" s="8">
        <f t="shared" si="9"/>
        <v>1</v>
      </c>
      <c r="H25" s="8">
        <v>1</v>
      </c>
      <c r="K25" s="8">
        <f t="shared" si="10"/>
        <v>1</v>
      </c>
      <c r="L25" s="8">
        <v>0</v>
      </c>
      <c r="M25" s="8">
        <v>0</v>
      </c>
      <c r="N25" s="8">
        <v>0</v>
      </c>
      <c r="O25" s="8">
        <f t="shared" si="11"/>
        <v>0</v>
      </c>
      <c r="P25" s="31">
        <v>2.2000000000000002</v>
      </c>
      <c r="Q25" s="31">
        <v>1.25</v>
      </c>
      <c r="R25" s="66">
        <f>IF(A25='Свод по районам'!$A$7,'Свод по районам'!$G$7,0)</f>
        <v>1.6565860580005747</v>
      </c>
      <c r="S25" s="76">
        <f>ROUND(((D25*$K$7+E25*$K$8+F25*$K$9)+(H25*$AA$7+I25*$AA$8+J25*$AA$9)+(L25*'по детям'!$K$10*0.2+M25*'по детям'!$K$11*0.2+N25*'по детям'!$K$12*0.2))*P25*Q25/1.302/12,1)</f>
        <v>87.9</v>
      </c>
      <c r="T25" s="12">
        <f t="shared" si="12"/>
        <v>49.443750000000009</v>
      </c>
      <c r="U25" s="11">
        <v>40</v>
      </c>
      <c r="V25" s="12">
        <f t="shared" si="13"/>
        <v>47.900000000000006</v>
      </c>
      <c r="W25" s="12">
        <f t="shared" si="0"/>
        <v>47.900000000000006</v>
      </c>
      <c r="X25" s="12">
        <f t="shared" si="1"/>
        <v>0</v>
      </c>
      <c r="Y25" s="20">
        <f t="shared" si="14"/>
        <v>9.4437500000000085</v>
      </c>
      <c r="Z25" s="12">
        <f t="shared" si="15"/>
        <v>9.4437500000000085</v>
      </c>
      <c r="AA25" s="12">
        <f t="shared" si="16"/>
        <v>0</v>
      </c>
      <c r="AB25" s="8">
        <v>1</v>
      </c>
      <c r="AC25" s="20">
        <f t="shared" si="2"/>
        <v>87900</v>
      </c>
      <c r="AD25" s="20">
        <f t="shared" si="17"/>
        <v>49443.750000000007</v>
      </c>
      <c r="AE25" s="20">
        <f t="shared" si="3"/>
        <v>40000</v>
      </c>
      <c r="AF25" s="21">
        <f t="shared" si="4"/>
        <v>47900</v>
      </c>
      <c r="AG25" s="23">
        <f t="shared" si="5"/>
        <v>1.7777777777777777</v>
      </c>
      <c r="AH25" s="20">
        <f t="shared" si="6"/>
        <v>49443.750000000007</v>
      </c>
      <c r="AI25" s="20">
        <f t="shared" si="7"/>
        <v>22500</v>
      </c>
      <c r="AJ25" s="20">
        <f t="shared" si="18"/>
        <v>26943.750000000007</v>
      </c>
      <c r="AK25" s="47">
        <f t="shared" si="8"/>
        <v>1.7777777777777777</v>
      </c>
    </row>
    <row r="26" spans="1:37" x14ac:dyDescent="0.25">
      <c r="A26" s="8" t="s">
        <v>19</v>
      </c>
      <c r="B26" s="8" t="s">
        <v>263</v>
      </c>
      <c r="C26" s="8" t="s">
        <v>51</v>
      </c>
      <c r="D26" s="8">
        <v>2</v>
      </c>
      <c r="E26" s="8">
        <v>2</v>
      </c>
      <c r="F26" s="8">
        <v>1</v>
      </c>
      <c r="G26" s="8">
        <f t="shared" si="9"/>
        <v>5</v>
      </c>
      <c r="K26" s="8">
        <f t="shared" si="10"/>
        <v>0</v>
      </c>
      <c r="L26" s="8">
        <v>0</v>
      </c>
      <c r="M26" s="8">
        <v>0</v>
      </c>
      <c r="N26" s="8">
        <v>0</v>
      </c>
      <c r="O26" s="8">
        <f t="shared" si="11"/>
        <v>0</v>
      </c>
      <c r="P26" s="31">
        <v>2.2000000000000002</v>
      </c>
      <c r="Q26" s="31">
        <v>1.25</v>
      </c>
      <c r="R26" s="66">
        <f>IF(A26='Свод по районам'!$A$7,'Свод по районам'!$G$7,0)</f>
        <v>1.6565860580005747</v>
      </c>
      <c r="S26" s="76">
        <f>ROUND(((D26*$K$7+E26*$K$8+F26*$K$9)+(H26*$AA$7+I26*$AA$8+J26*$AA$9)+(L26*'по детям'!$K$10*0.2+M26*'по детям'!$K$11*0.2+N26*'по детям'!$K$12*0.2))*P26*Q26/1.302/12,1)</f>
        <v>437.8</v>
      </c>
      <c r="T26" s="12">
        <f t="shared" si="12"/>
        <v>241.66560000000004</v>
      </c>
      <c r="U26" s="11">
        <v>270.24399999999997</v>
      </c>
      <c r="V26" s="12">
        <f t="shared" si="13"/>
        <v>167.55600000000004</v>
      </c>
      <c r="W26" s="12">
        <f t="shared" si="0"/>
        <v>167.55600000000004</v>
      </c>
      <c r="X26" s="12">
        <f t="shared" si="1"/>
        <v>0</v>
      </c>
      <c r="Y26" s="20">
        <f t="shared" si="14"/>
        <v>-28.578399999999931</v>
      </c>
      <c r="Z26" s="12">
        <f t="shared" si="15"/>
        <v>0</v>
      </c>
      <c r="AA26" s="12">
        <f t="shared" si="16"/>
        <v>-28.578399999999931</v>
      </c>
      <c r="AB26" s="8">
        <v>4.5999999999999996</v>
      </c>
      <c r="AC26" s="20">
        <f t="shared" si="2"/>
        <v>95173.913043478271</v>
      </c>
      <c r="AD26" s="20">
        <f t="shared" si="17"/>
        <v>52536.000000000015</v>
      </c>
      <c r="AE26" s="20">
        <f t="shared" si="3"/>
        <v>58748.695652173912</v>
      </c>
      <c r="AF26" s="21">
        <f t="shared" si="4"/>
        <v>36425.217391304359</v>
      </c>
      <c r="AG26" s="23">
        <f t="shared" si="5"/>
        <v>8.3333333333333321</v>
      </c>
      <c r="AH26" s="20">
        <f t="shared" si="6"/>
        <v>52536.000000000007</v>
      </c>
      <c r="AI26" s="20">
        <f t="shared" si="7"/>
        <v>32429.279999999999</v>
      </c>
      <c r="AJ26" s="20">
        <f t="shared" si="18"/>
        <v>20106.720000000008</v>
      </c>
      <c r="AK26" s="47">
        <f t="shared" si="8"/>
        <v>1.8115942028985506</v>
      </c>
    </row>
    <row r="27" spans="1:37" x14ac:dyDescent="0.25">
      <c r="A27" s="8" t="s">
        <v>19</v>
      </c>
      <c r="B27" s="8" t="s">
        <v>263</v>
      </c>
      <c r="C27" s="8" t="s">
        <v>52</v>
      </c>
      <c r="D27" s="8">
        <v>1</v>
      </c>
      <c r="G27" s="8">
        <f t="shared" si="9"/>
        <v>1</v>
      </c>
      <c r="K27" s="8">
        <f t="shared" si="10"/>
        <v>0</v>
      </c>
      <c r="L27" s="8">
        <v>0</v>
      </c>
      <c r="M27" s="8">
        <v>0</v>
      </c>
      <c r="N27" s="8">
        <v>0</v>
      </c>
      <c r="O27" s="8">
        <f t="shared" si="11"/>
        <v>0</v>
      </c>
      <c r="P27" s="31">
        <v>2.2000000000000002</v>
      </c>
      <c r="Q27" s="31">
        <v>1.25</v>
      </c>
      <c r="R27" s="66">
        <f>IF(A27='Свод по районам'!$A$7,'Свод по районам'!$G$7,0)</f>
        <v>1.6565860580005747</v>
      </c>
      <c r="S27" s="76">
        <f>ROUND(((D27*$K$7+E27*$K$8+F27*$K$9)+(H27*$AA$7+I27*$AA$8+J27*$AA$9)+(L27*'по детям'!$K$10*0.2+M27*'по детям'!$K$11*0.2+N27*'по детям'!$K$12*0.2))*P27*Q27/1.302/12,1)</f>
        <v>70.7</v>
      </c>
      <c r="T27" s="12">
        <f t="shared" si="12"/>
        <v>53.025000000000006</v>
      </c>
      <c r="U27" s="11">
        <v>145.45699999999999</v>
      </c>
      <c r="V27" s="12">
        <f t="shared" si="13"/>
        <v>-74.756999999999991</v>
      </c>
      <c r="W27" s="12">
        <f t="shared" si="0"/>
        <v>0</v>
      </c>
      <c r="X27" s="12">
        <f t="shared" si="1"/>
        <v>-74.756999999999991</v>
      </c>
      <c r="Y27" s="20">
        <f t="shared" si="14"/>
        <v>-92.431999999999988</v>
      </c>
      <c r="Z27" s="12">
        <f t="shared" si="15"/>
        <v>0</v>
      </c>
      <c r="AA27" s="12">
        <f t="shared" si="16"/>
        <v>-92.431999999999988</v>
      </c>
      <c r="AB27" s="8">
        <v>1</v>
      </c>
      <c r="AC27" s="20">
        <f t="shared" si="2"/>
        <v>70700</v>
      </c>
      <c r="AD27" s="20">
        <f t="shared" si="17"/>
        <v>53025.000000000007</v>
      </c>
      <c r="AE27" s="20">
        <f t="shared" si="3"/>
        <v>145457</v>
      </c>
      <c r="AF27" s="21">
        <f t="shared" si="4"/>
        <v>-74757</v>
      </c>
      <c r="AG27" s="23">
        <f t="shared" si="5"/>
        <v>1.3333333333333333</v>
      </c>
      <c r="AH27" s="20">
        <f t="shared" si="6"/>
        <v>53025.000000000007</v>
      </c>
      <c r="AI27" s="20">
        <f t="shared" si="7"/>
        <v>109092.75</v>
      </c>
      <c r="AJ27" s="20">
        <f t="shared" si="18"/>
        <v>-56067.749999999993</v>
      </c>
      <c r="AK27" s="47">
        <f t="shared" si="8"/>
        <v>1.3333333333333333</v>
      </c>
    </row>
    <row r="28" spans="1:37" x14ac:dyDescent="0.25">
      <c r="A28" s="8" t="s">
        <v>20</v>
      </c>
      <c r="C28" s="8" t="s">
        <v>53</v>
      </c>
      <c r="D28" s="8">
        <v>2</v>
      </c>
      <c r="G28" s="8">
        <f t="shared" si="9"/>
        <v>2</v>
      </c>
      <c r="K28" s="8">
        <f t="shared" si="10"/>
        <v>0</v>
      </c>
      <c r="L28" s="8">
        <v>0</v>
      </c>
      <c r="M28" s="8">
        <v>0</v>
      </c>
      <c r="N28" s="8">
        <v>0</v>
      </c>
      <c r="O28" s="8">
        <f t="shared" si="11"/>
        <v>0</v>
      </c>
      <c r="P28" s="10">
        <v>1.5</v>
      </c>
      <c r="Q28" s="31">
        <v>1.25</v>
      </c>
      <c r="R28" s="66">
        <f>IF(A28='Свод по районам'!$A$8,'Свод по районам'!$G$8,0)</f>
        <v>1.4355202218851693</v>
      </c>
      <c r="S28" s="76">
        <f>ROUND(((D28*$K$7+E28*$K$8+F28*$K$9)+(H28*$AA$7+I28*$AA$8+J28*$AA$9)+(L28*'по детям'!$K$10*0.2+M28*'по детям'!$K$11*0.2+N28*'по детям'!$K$12*0.2))*P28*Q28/1.302/12,1)</f>
        <v>96.3</v>
      </c>
      <c r="T28" s="12">
        <f t="shared" si="12"/>
        <v>93.892500000000013</v>
      </c>
      <c r="U28" s="11">
        <v>99.818000000000012</v>
      </c>
      <c r="V28" s="12">
        <f t="shared" si="13"/>
        <v>-3.5180000000000149</v>
      </c>
      <c r="W28" s="12">
        <f t="shared" si="0"/>
        <v>0</v>
      </c>
      <c r="X28" s="12">
        <f t="shared" si="1"/>
        <v>-3.5180000000000149</v>
      </c>
      <c r="Y28" s="20">
        <f t="shared" si="14"/>
        <v>-5.9254999999999995</v>
      </c>
      <c r="Z28" s="12">
        <f t="shared" si="15"/>
        <v>0</v>
      </c>
      <c r="AA28" s="12">
        <f t="shared" si="16"/>
        <v>-5.9254999999999995</v>
      </c>
      <c r="AB28" s="8">
        <v>2.6</v>
      </c>
      <c r="AC28" s="20">
        <f t="shared" si="2"/>
        <v>37038.461538461532</v>
      </c>
      <c r="AD28" s="20">
        <f t="shared" si="17"/>
        <v>36112.500000000007</v>
      </c>
      <c r="AE28" s="20">
        <f t="shared" si="3"/>
        <v>38391.538461538468</v>
      </c>
      <c r="AF28" s="21">
        <f t="shared" si="4"/>
        <v>-1353.0769230769365</v>
      </c>
      <c r="AG28" s="23">
        <f t="shared" si="5"/>
        <v>2.6666666666666665</v>
      </c>
      <c r="AH28" s="20">
        <f t="shared" si="6"/>
        <v>36112.500000000007</v>
      </c>
      <c r="AI28" s="20">
        <f t="shared" si="7"/>
        <v>37431.750000000007</v>
      </c>
      <c r="AJ28" s="20">
        <f t="shared" si="18"/>
        <v>-1319.25</v>
      </c>
      <c r="AK28" s="47">
        <f t="shared" si="8"/>
        <v>1.0256410256410255</v>
      </c>
    </row>
    <row r="29" spans="1:37" x14ac:dyDescent="0.25">
      <c r="A29" s="8" t="s">
        <v>20</v>
      </c>
      <c r="C29" s="8" t="s">
        <v>54</v>
      </c>
      <c r="D29" s="8">
        <v>2</v>
      </c>
      <c r="G29" s="8">
        <f t="shared" si="9"/>
        <v>2</v>
      </c>
      <c r="K29" s="8">
        <f t="shared" si="10"/>
        <v>0</v>
      </c>
      <c r="L29" s="8">
        <v>1</v>
      </c>
      <c r="M29" s="8">
        <v>0</v>
      </c>
      <c r="N29" s="8">
        <v>0</v>
      </c>
      <c r="O29" s="8">
        <f t="shared" si="11"/>
        <v>1</v>
      </c>
      <c r="P29" s="31">
        <v>1.5</v>
      </c>
      <c r="Q29" s="31">
        <v>1.25</v>
      </c>
      <c r="R29" s="66">
        <f>IF(A29='Свод по районам'!$A$8,'Свод по районам'!$G$8,0)</f>
        <v>1.4355202218851693</v>
      </c>
      <c r="S29" s="76">
        <f>ROUND(((D29*$K$7+E29*$K$8+F29*$K$9)+(H29*$AA$7+I29*$AA$8+J29*$AA$9)+(L29*'по детям'!$K$10*0.2+M29*'по детям'!$K$11*0.2+N29*'по детям'!$K$12*0.2))*P29*Q29/1.302/12,1)</f>
        <v>96.8</v>
      </c>
      <c r="T29" s="12">
        <f t="shared" si="12"/>
        <v>72.600000000000009</v>
      </c>
      <c r="U29" s="11">
        <v>65.025999999999996</v>
      </c>
      <c r="V29" s="12">
        <f t="shared" si="13"/>
        <v>31.774000000000001</v>
      </c>
      <c r="W29" s="12">
        <f t="shared" si="0"/>
        <v>31.774000000000001</v>
      </c>
      <c r="X29" s="12">
        <f t="shared" si="1"/>
        <v>0</v>
      </c>
      <c r="Y29" s="20">
        <f t="shared" si="14"/>
        <v>7.5740000000000123</v>
      </c>
      <c r="Z29" s="12">
        <f t="shared" si="15"/>
        <v>7.5740000000000123</v>
      </c>
      <c r="AA29" s="12">
        <f t="shared" si="16"/>
        <v>0</v>
      </c>
      <c r="AB29" s="8">
        <v>2</v>
      </c>
      <c r="AC29" s="20">
        <f t="shared" si="2"/>
        <v>48400</v>
      </c>
      <c r="AD29" s="20">
        <f t="shared" si="17"/>
        <v>36300.000000000007</v>
      </c>
      <c r="AE29" s="20">
        <f t="shared" si="3"/>
        <v>32512.999999999996</v>
      </c>
      <c r="AF29" s="21">
        <f t="shared" si="4"/>
        <v>15887.000000000004</v>
      </c>
      <c r="AG29" s="23">
        <f t="shared" si="5"/>
        <v>2.6666666666666665</v>
      </c>
      <c r="AH29" s="20">
        <f t="shared" si="6"/>
        <v>36300.000000000007</v>
      </c>
      <c r="AI29" s="20">
        <f t="shared" si="7"/>
        <v>24384.75</v>
      </c>
      <c r="AJ29" s="20">
        <f t="shared" si="18"/>
        <v>11915.250000000007</v>
      </c>
      <c r="AK29" s="47">
        <f t="shared" si="8"/>
        <v>1.3333333333333333</v>
      </c>
    </row>
    <row r="30" spans="1:37" x14ac:dyDescent="0.25">
      <c r="A30" s="8" t="s">
        <v>20</v>
      </c>
      <c r="C30" s="8" t="s">
        <v>55</v>
      </c>
      <c r="D30" s="8">
        <v>3</v>
      </c>
      <c r="G30" s="8">
        <f t="shared" si="9"/>
        <v>3</v>
      </c>
      <c r="K30" s="8">
        <f t="shared" si="10"/>
        <v>0</v>
      </c>
      <c r="L30" s="8">
        <v>1</v>
      </c>
      <c r="M30" s="8">
        <v>0</v>
      </c>
      <c r="N30" s="8">
        <v>0</v>
      </c>
      <c r="O30" s="8">
        <f t="shared" si="11"/>
        <v>1</v>
      </c>
      <c r="P30" s="31">
        <v>1.5</v>
      </c>
      <c r="Q30" s="31">
        <v>1.25</v>
      </c>
      <c r="R30" s="66">
        <f>IF(A30='Свод по районам'!$A$8,'Свод по районам'!$G$8,0)</f>
        <v>1.4355202218851693</v>
      </c>
      <c r="S30" s="76">
        <f>ROUND(((D30*$K$7+E30*$K$8+F30*$K$9)+(H30*$AA$7+I30*$AA$8+J30*$AA$9)+(L30*'по детям'!$K$10*0.2+M30*'по детям'!$K$11*0.2+N30*'по детям'!$K$12*0.2))*P30*Q30/1.302/12,1)</f>
        <v>145</v>
      </c>
      <c r="T30" s="12">
        <f t="shared" si="12"/>
        <v>145</v>
      </c>
      <c r="U30" s="11">
        <v>140.28299999999999</v>
      </c>
      <c r="V30" s="12">
        <f t="shared" si="13"/>
        <v>4.717000000000013</v>
      </c>
      <c r="W30" s="12">
        <f t="shared" si="0"/>
        <v>4.717000000000013</v>
      </c>
      <c r="X30" s="12">
        <f t="shared" si="1"/>
        <v>0</v>
      </c>
      <c r="Y30" s="20">
        <f t="shared" si="14"/>
        <v>4.717000000000013</v>
      </c>
      <c r="Z30" s="12">
        <f t="shared" si="15"/>
        <v>4.717000000000013</v>
      </c>
      <c r="AA30" s="12">
        <f t="shared" si="16"/>
        <v>0</v>
      </c>
      <c r="AB30" s="8">
        <v>4</v>
      </c>
      <c r="AC30" s="20">
        <f t="shared" si="2"/>
        <v>36250</v>
      </c>
      <c r="AD30" s="20">
        <f t="shared" si="17"/>
        <v>36250</v>
      </c>
      <c r="AE30" s="20">
        <f t="shared" si="3"/>
        <v>35070.75</v>
      </c>
      <c r="AF30" s="21">
        <f t="shared" si="4"/>
        <v>1179.25</v>
      </c>
      <c r="AG30" s="23">
        <f t="shared" si="5"/>
        <v>4</v>
      </c>
      <c r="AH30" s="20">
        <f t="shared" si="6"/>
        <v>36250</v>
      </c>
      <c r="AI30" s="20">
        <f t="shared" si="7"/>
        <v>35070.75</v>
      </c>
      <c r="AJ30" s="20">
        <f t="shared" si="18"/>
        <v>1179.25</v>
      </c>
      <c r="AK30" s="47">
        <f t="shared" si="8"/>
        <v>1</v>
      </c>
    </row>
    <row r="31" spans="1:37" x14ac:dyDescent="0.25">
      <c r="A31" s="8" t="s">
        <v>20</v>
      </c>
      <c r="B31" s="8" t="s">
        <v>263</v>
      </c>
      <c r="C31" s="8" t="s">
        <v>56</v>
      </c>
      <c r="D31" s="8">
        <v>1</v>
      </c>
      <c r="G31" s="8">
        <f t="shared" si="9"/>
        <v>1</v>
      </c>
      <c r="K31" s="8">
        <f t="shared" si="10"/>
        <v>0</v>
      </c>
      <c r="L31" s="8">
        <v>2</v>
      </c>
      <c r="M31" s="8">
        <v>0</v>
      </c>
      <c r="N31" s="8">
        <v>0</v>
      </c>
      <c r="O31" s="8">
        <f t="shared" si="11"/>
        <v>2</v>
      </c>
      <c r="P31" s="31">
        <v>1.5</v>
      </c>
      <c r="Q31" s="31">
        <v>1.25</v>
      </c>
      <c r="R31" s="66">
        <f>IF(A31='Свод по районам'!$A$8,'Свод по районам'!$G$8,0)</f>
        <v>1.4355202218851693</v>
      </c>
      <c r="S31" s="76">
        <f>ROUND(((D31*$K$7+E31*$K$8+F31*$K$9)+(H31*$AA$7+I31*$AA$8+J31*$AA$9)+(L31*'по детям'!$K$10*0.2+M31*'по детям'!$K$11*0.2+N31*'по детям'!$K$12*0.2))*P31*Q31/1.302/12,1)</f>
        <v>49.1</v>
      </c>
      <c r="T31" s="12">
        <f t="shared" si="12"/>
        <v>36.825000000000003</v>
      </c>
      <c r="U31" s="11">
        <v>51.771000000000001</v>
      </c>
      <c r="V31" s="12">
        <f t="shared" si="13"/>
        <v>-2.6709999999999994</v>
      </c>
      <c r="W31" s="12">
        <f t="shared" si="0"/>
        <v>0</v>
      </c>
      <c r="X31" s="12">
        <f t="shared" si="1"/>
        <v>-2.6709999999999994</v>
      </c>
      <c r="Y31" s="20">
        <f t="shared" si="14"/>
        <v>-14.945999999999998</v>
      </c>
      <c r="Z31" s="12">
        <f t="shared" si="15"/>
        <v>0</v>
      </c>
      <c r="AA31" s="12">
        <f t="shared" si="16"/>
        <v>-14.945999999999998</v>
      </c>
      <c r="AB31" s="8">
        <v>1</v>
      </c>
      <c r="AC31" s="20">
        <f t="shared" si="2"/>
        <v>49100</v>
      </c>
      <c r="AD31" s="20">
        <f t="shared" si="17"/>
        <v>36825</v>
      </c>
      <c r="AE31" s="20">
        <f t="shared" si="3"/>
        <v>51771</v>
      </c>
      <c r="AF31" s="21">
        <f t="shared" si="4"/>
        <v>-2671</v>
      </c>
      <c r="AG31" s="23">
        <f t="shared" si="5"/>
        <v>1.3333333333333333</v>
      </c>
      <c r="AH31" s="20">
        <f t="shared" si="6"/>
        <v>36825</v>
      </c>
      <c r="AI31" s="20">
        <f t="shared" si="7"/>
        <v>38828.250000000007</v>
      </c>
      <c r="AJ31" s="20">
        <f t="shared" si="18"/>
        <v>-2003.2500000000073</v>
      </c>
      <c r="AK31" s="47">
        <f t="shared" si="8"/>
        <v>1.3333333333333333</v>
      </c>
    </row>
    <row r="32" spans="1:37" x14ac:dyDescent="0.25">
      <c r="A32" s="8" t="s">
        <v>20</v>
      </c>
      <c r="C32" s="8" t="s">
        <v>57</v>
      </c>
      <c r="D32" s="8">
        <v>4</v>
      </c>
      <c r="E32" s="8">
        <v>5</v>
      </c>
      <c r="F32" s="8">
        <v>1</v>
      </c>
      <c r="G32" s="8">
        <f t="shared" si="9"/>
        <v>10</v>
      </c>
      <c r="H32" s="8">
        <v>1</v>
      </c>
      <c r="K32" s="8">
        <f t="shared" si="10"/>
        <v>1</v>
      </c>
      <c r="L32" s="8">
        <v>3</v>
      </c>
      <c r="M32" s="8">
        <v>0</v>
      </c>
      <c r="N32" s="8">
        <v>0</v>
      </c>
      <c r="O32" s="8">
        <f t="shared" si="11"/>
        <v>3</v>
      </c>
      <c r="P32" s="31">
        <v>1.5</v>
      </c>
      <c r="Q32" s="31">
        <v>1.25</v>
      </c>
      <c r="R32" s="66">
        <f>IF(A32='Свод по районам'!$A$8,'Свод по районам'!$G$8,0)</f>
        <v>1.4355202218851693</v>
      </c>
      <c r="S32" s="76">
        <f>ROUND(((D32*$K$7+E32*$K$8+F32*$K$9)+(H32*$AA$7+I32*$AA$8+J32*$AA$9)+(L32*'по детям'!$K$10*0.2+M32*'по детям'!$K$11*0.2+N32*'по детям'!$K$12*0.2))*P32*Q32/1.302/12,1)</f>
        <v>604.1</v>
      </c>
      <c r="T32" s="12">
        <f t="shared" si="12"/>
        <v>356.51803278688533</v>
      </c>
      <c r="U32" s="11">
        <v>409.97800000000001</v>
      </c>
      <c r="V32" s="12">
        <f t="shared" si="13"/>
        <v>194.12200000000001</v>
      </c>
      <c r="W32" s="12">
        <f t="shared" si="0"/>
        <v>194.12200000000001</v>
      </c>
      <c r="X32" s="12">
        <f t="shared" si="1"/>
        <v>0</v>
      </c>
      <c r="Y32" s="20">
        <f t="shared" si="14"/>
        <v>-53.45996721311468</v>
      </c>
      <c r="Z32" s="12">
        <f t="shared" si="15"/>
        <v>0</v>
      </c>
      <c r="AA32" s="12">
        <f t="shared" si="16"/>
        <v>-53.45996721311468</v>
      </c>
      <c r="AB32" s="8">
        <v>10</v>
      </c>
      <c r="AC32" s="20">
        <f t="shared" si="2"/>
        <v>60410.000000000007</v>
      </c>
      <c r="AD32" s="20">
        <f t="shared" si="17"/>
        <v>35651.803278688531</v>
      </c>
      <c r="AE32" s="20">
        <f t="shared" si="3"/>
        <v>40997.799999999996</v>
      </c>
      <c r="AF32" s="21">
        <f t="shared" si="4"/>
        <v>19412.200000000012</v>
      </c>
      <c r="AG32" s="23">
        <f t="shared" si="5"/>
        <v>16.944444444444443</v>
      </c>
      <c r="AH32" s="20">
        <f t="shared" si="6"/>
        <v>35651.803278688523</v>
      </c>
      <c r="AI32" s="20">
        <f t="shared" si="7"/>
        <v>24195.422950819677</v>
      </c>
      <c r="AJ32" s="20">
        <f t="shared" si="18"/>
        <v>11456.380327868847</v>
      </c>
      <c r="AK32" s="47">
        <f t="shared" si="8"/>
        <v>1.6944444444444442</v>
      </c>
    </row>
    <row r="33" spans="1:37" x14ac:dyDescent="0.25">
      <c r="A33" s="8" t="s">
        <v>20</v>
      </c>
      <c r="C33" s="8" t="s">
        <v>58</v>
      </c>
      <c r="D33" s="8">
        <v>4</v>
      </c>
      <c r="E33" s="8">
        <v>5</v>
      </c>
      <c r="F33" s="8">
        <v>1</v>
      </c>
      <c r="G33" s="8">
        <f t="shared" si="9"/>
        <v>10</v>
      </c>
      <c r="I33" s="8">
        <v>1</v>
      </c>
      <c r="K33" s="8">
        <f t="shared" si="10"/>
        <v>1</v>
      </c>
      <c r="L33" s="8">
        <v>1</v>
      </c>
      <c r="M33" s="8">
        <v>2</v>
      </c>
      <c r="N33" s="8">
        <v>0</v>
      </c>
      <c r="O33" s="8">
        <f t="shared" si="11"/>
        <v>3</v>
      </c>
      <c r="P33" s="31">
        <v>1.5</v>
      </c>
      <c r="Q33" s="31">
        <v>1.25</v>
      </c>
      <c r="R33" s="66">
        <f>IF(A33='Свод по районам'!$A$8,'Свод по районам'!$G$8,0)</f>
        <v>1.4355202218851693</v>
      </c>
      <c r="S33" s="76">
        <f>ROUND(((D33*$K$7+E33*$K$8+F33*$K$9)+(H33*$AA$7+I33*$AA$8+J33*$AA$9)+(L33*'по детям'!$K$10*0.2+M33*'по детям'!$K$11*0.2+N33*'по детям'!$K$12*0.2))*P33*Q33/1.302/12,1)</f>
        <v>608.70000000000005</v>
      </c>
      <c r="T33" s="12">
        <f t="shared" si="12"/>
        <v>412.65116883116883</v>
      </c>
      <c r="U33" s="11">
        <v>362.62799999999999</v>
      </c>
      <c r="V33" s="12">
        <f t="shared" si="13"/>
        <v>246.07200000000006</v>
      </c>
      <c r="W33" s="12">
        <f t="shared" si="0"/>
        <v>246.07200000000006</v>
      </c>
      <c r="X33" s="12">
        <f t="shared" si="1"/>
        <v>0</v>
      </c>
      <c r="Y33" s="20">
        <f t="shared" si="14"/>
        <v>50.023168831168846</v>
      </c>
      <c r="Z33" s="12">
        <f t="shared" si="15"/>
        <v>50.023168831168846</v>
      </c>
      <c r="AA33" s="12">
        <f t="shared" si="16"/>
        <v>0</v>
      </c>
      <c r="AB33" s="8">
        <v>11.6</v>
      </c>
      <c r="AC33" s="20">
        <f t="shared" si="2"/>
        <v>52474.137931034493</v>
      </c>
      <c r="AD33" s="20">
        <f t="shared" si="17"/>
        <v>35573.376623376622</v>
      </c>
      <c r="AE33" s="20">
        <f t="shared" si="3"/>
        <v>31261.03448275862</v>
      </c>
      <c r="AF33" s="21">
        <f t="shared" si="4"/>
        <v>21213.103448275873</v>
      </c>
      <c r="AG33" s="23">
        <f t="shared" si="5"/>
        <v>17.111111111111111</v>
      </c>
      <c r="AH33" s="20">
        <f t="shared" si="6"/>
        <v>35573.376623376622</v>
      </c>
      <c r="AI33" s="20">
        <f t="shared" si="7"/>
        <v>21192.545454545452</v>
      </c>
      <c r="AJ33" s="20">
        <f t="shared" si="18"/>
        <v>14380.83116883117</v>
      </c>
      <c r="AK33" s="47">
        <f t="shared" si="8"/>
        <v>1.475095785440613</v>
      </c>
    </row>
    <row r="34" spans="1:37" x14ac:dyDescent="0.25">
      <c r="A34" s="8" t="s">
        <v>20</v>
      </c>
      <c r="C34" s="8" t="s">
        <v>59</v>
      </c>
      <c r="D34" s="8">
        <v>3</v>
      </c>
      <c r="E34" s="8">
        <v>5</v>
      </c>
      <c r="F34" s="8">
        <v>1</v>
      </c>
      <c r="G34" s="8">
        <f t="shared" si="9"/>
        <v>9</v>
      </c>
      <c r="I34" s="8">
        <v>1</v>
      </c>
      <c r="K34" s="8">
        <f t="shared" si="10"/>
        <v>1</v>
      </c>
      <c r="L34" s="8">
        <v>0</v>
      </c>
      <c r="M34" s="8">
        <v>1</v>
      </c>
      <c r="N34" s="8">
        <v>0</v>
      </c>
      <c r="O34" s="8">
        <f t="shared" si="11"/>
        <v>1</v>
      </c>
      <c r="P34" s="31">
        <v>1.5</v>
      </c>
      <c r="Q34" s="31">
        <v>1.25</v>
      </c>
      <c r="R34" s="66">
        <f>IF(A34='Свод по районам'!$A$8,'Свод по районам'!$G$8,0)</f>
        <v>1.4355202218851693</v>
      </c>
      <c r="S34" s="76">
        <f>ROUND(((D34*$K$7+E34*$K$8+F34*$K$9)+(H34*$AA$7+I34*$AA$8+J34*$AA$9)+(L34*'по детям'!$K$10*0.2+M34*'по детям'!$K$11*0.2+N34*'по детям'!$K$12*0.2))*P34*Q34/1.302/12,1)</f>
        <v>559.4</v>
      </c>
      <c r="T34" s="12">
        <f t="shared" si="12"/>
        <v>390.00422535211271</v>
      </c>
      <c r="U34" s="11">
        <v>372.56500000000005</v>
      </c>
      <c r="V34" s="12">
        <f t="shared" si="13"/>
        <v>186.83499999999992</v>
      </c>
      <c r="W34" s="12">
        <f t="shared" si="0"/>
        <v>186.83499999999992</v>
      </c>
      <c r="X34" s="12">
        <f t="shared" si="1"/>
        <v>0</v>
      </c>
      <c r="Y34" s="20">
        <f t="shared" si="14"/>
        <v>17.439225352112658</v>
      </c>
      <c r="Z34" s="12">
        <f t="shared" si="15"/>
        <v>17.439225352112658</v>
      </c>
      <c r="AA34" s="12">
        <f t="shared" si="16"/>
        <v>0</v>
      </c>
      <c r="AB34" s="8">
        <v>11</v>
      </c>
      <c r="AC34" s="20">
        <f t="shared" si="2"/>
        <v>50854.545454545449</v>
      </c>
      <c r="AD34" s="20">
        <f t="shared" si="17"/>
        <v>35454.929577464791</v>
      </c>
      <c r="AE34" s="20">
        <f t="shared" si="3"/>
        <v>33869.545454545456</v>
      </c>
      <c r="AF34" s="21">
        <f t="shared" si="4"/>
        <v>16984.999999999993</v>
      </c>
      <c r="AG34" s="23">
        <f t="shared" si="5"/>
        <v>15.777777777777777</v>
      </c>
      <c r="AH34" s="20">
        <f t="shared" si="6"/>
        <v>35454.929577464791</v>
      </c>
      <c r="AI34" s="20">
        <f t="shared" si="7"/>
        <v>23613.274647887331</v>
      </c>
      <c r="AJ34" s="20">
        <f t="shared" si="18"/>
        <v>11841.65492957746</v>
      </c>
      <c r="AK34" s="47">
        <f t="shared" si="8"/>
        <v>1.4343434343434343</v>
      </c>
    </row>
    <row r="35" spans="1:37" x14ac:dyDescent="0.25">
      <c r="A35" s="8" t="s">
        <v>20</v>
      </c>
      <c r="C35" s="8" t="s">
        <v>60</v>
      </c>
      <c r="D35" s="8">
        <v>3</v>
      </c>
      <c r="E35" s="8">
        <v>4</v>
      </c>
      <c r="F35" s="8">
        <v>1</v>
      </c>
      <c r="G35" s="8">
        <f t="shared" si="9"/>
        <v>8</v>
      </c>
      <c r="K35" s="8">
        <f t="shared" si="10"/>
        <v>0</v>
      </c>
      <c r="L35" s="8">
        <v>0</v>
      </c>
      <c r="M35" s="8">
        <v>1</v>
      </c>
      <c r="N35" s="8">
        <v>0</v>
      </c>
      <c r="O35" s="8">
        <f t="shared" si="11"/>
        <v>1</v>
      </c>
      <c r="P35" s="31">
        <v>1.5</v>
      </c>
      <c r="Q35" s="31">
        <v>1.25</v>
      </c>
      <c r="R35" s="66">
        <f>IF(A35='Свод по районам'!$A$8,'Свод по районам'!$G$8,0)</f>
        <v>1.4355202218851693</v>
      </c>
      <c r="S35" s="76">
        <f>ROUND(((D35*$K$7+E35*$K$8+F35*$K$9)+(H35*$AA$7+I35*$AA$8+J35*$AA$9)+(L35*'по детям'!$K$10*0.2+M35*'по детям'!$K$11*0.2+N35*'по детям'!$K$12*0.2))*P35*Q35/1.302/12,1)</f>
        <v>478.2</v>
      </c>
      <c r="T35" s="12">
        <f t="shared" si="12"/>
        <v>344.30400000000003</v>
      </c>
      <c r="U35" s="11">
        <v>270.14699999999999</v>
      </c>
      <c r="V35" s="12">
        <f t="shared" si="13"/>
        <v>208.053</v>
      </c>
      <c r="W35" s="12">
        <f t="shared" si="0"/>
        <v>208.053</v>
      </c>
      <c r="X35" s="12">
        <f t="shared" si="1"/>
        <v>0</v>
      </c>
      <c r="Y35" s="20">
        <f t="shared" si="14"/>
        <v>74.157000000000039</v>
      </c>
      <c r="Z35" s="12">
        <f t="shared" si="15"/>
        <v>74.157000000000039</v>
      </c>
      <c r="AA35" s="12">
        <f t="shared" si="16"/>
        <v>0</v>
      </c>
      <c r="AB35" s="8">
        <v>9.6</v>
      </c>
      <c r="AC35" s="20">
        <f t="shared" si="2"/>
        <v>49812.5</v>
      </c>
      <c r="AD35" s="20">
        <f t="shared" si="17"/>
        <v>35865</v>
      </c>
      <c r="AE35" s="20">
        <f t="shared" si="3"/>
        <v>28140.3125</v>
      </c>
      <c r="AF35" s="21">
        <f t="shared" si="4"/>
        <v>21672.1875</v>
      </c>
      <c r="AG35" s="23">
        <f t="shared" si="5"/>
        <v>13.333333333333332</v>
      </c>
      <c r="AH35" s="20">
        <f t="shared" si="6"/>
        <v>35865</v>
      </c>
      <c r="AI35" s="20">
        <f t="shared" si="7"/>
        <v>20261.025000000001</v>
      </c>
      <c r="AJ35" s="20">
        <f t="shared" si="18"/>
        <v>15603.974999999999</v>
      </c>
      <c r="AK35" s="47">
        <f t="shared" si="8"/>
        <v>1.3888888888888888</v>
      </c>
    </row>
    <row r="36" spans="1:37" x14ac:dyDescent="0.25">
      <c r="A36" s="8" t="s">
        <v>20</v>
      </c>
      <c r="B36" s="8" t="s">
        <v>263</v>
      </c>
      <c r="C36" s="8" t="s">
        <v>61</v>
      </c>
      <c r="D36" s="8">
        <v>3</v>
      </c>
      <c r="E36" s="8">
        <v>3</v>
      </c>
      <c r="G36" s="8">
        <f t="shared" si="9"/>
        <v>6</v>
      </c>
      <c r="H36" s="8">
        <v>2</v>
      </c>
      <c r="I36" s="8">
        <v>1</v>
      </c>
      <c r="K36" s="8">
        <f t="shared" si="10"/>
        <v>3</v>
      </c>
      <c r="L36" s="8">
        <v>1</v>
      </c>
      <c r="M36" s="8">
        <v>1</v>
      </c>
      <c r="N36" s="8">
        <v>0</v>
      </c>
      <c r="O36" s="8">
        <f t="shared" si="11"/>
        <v>2</v>
      </c>
      <c r="P36" s="31">
        <v>1.5</v>
      </c>
      <c r="Q36" s="31">
        <v>1.25</v>
      </c>
      <c r="R36" s="66">
        <f>IF(A36='Свод по районам'!$A$8,'Свод по районам'!$G$8,0)</f>
        <v>1.4355202218851693</v>
      </c>
      <c r="S36" s="76">
        <f>ROUND(((D36*$K$7+E36*$K$8+F36*$K$9)+(H36*$AA$7+I36*$AA$8+J36*$AA$9)+(L36*'по детям'!$K$10*0.2+M36*'по детям'!$K$11*0.2+N36*'по детям'!$K$12*0.2))*P36*Q36/1.302/12,1)</f>
        <v>381.1</v>
      </c>
      <c r="T36" s="12">
        <f t="shared" si="12"/>
        <v>249.44727272727275</v>
      </c>
      <c r="U36" s="11">
        <v>280.05600000000004</v>
      </c>
      <c r="V36" s="12">
        <f t="shared" si="13"/>
        <v>101.04399999999998</v>
      </c>
      <c r="W36" s="12">
        <f t="shared" si="0"/>
        <v>101.04399999999998</v>
      </c>
      <c r="X36" s="12">
        <f t="shared" si="1"/>
        <v>0</v>
      </c>
      <c r="Y36" s="20">
        <f t="shared" si="14"/>
        <v>-30.608727272727293</v>
      </c>
      <c r="Z36" s="12">
        <f t="shared" si="15"/>
        <v>0</v>
      </c>
      <c r="AA36" s="12">
        <f t="shared" si="16"/>
        <v>-30.608727272727293</v>
      </c>
      <c r="AB36" s="8">
        <v>7.2</v>
      </c>
      <c r="AC36" s="20">
        <f t="shared" si="2"/>
        <v>52930.555555555555</v>
      </c>
      <c r="AD36" s="20">
        <f t="shared" si="17"/>
        <v>34645.454545454551</v>
      </c>
      <c r="AE36" s="20">
        <f t="shared" si="3"/>
        <v>38896.666666666672</v>
      </c>
      <c r="AF36" s="21">
        <f t="shared" si="4"/>
        <v>14033.888888888883</v>
      </c>
      <c r="AG36" s="23">
        <f t="shared" si="5"/>
        <v>11</v>
      </c>
      <c r="AH36" s="20">
        <f t="shared" si="6"/>
        <v>34645.454545454551</v>
      </c>
      <c r="AI36" s="20">
        <f t="shared" si="7"/>
        <v>25459.636363636368</v>
      </c>
      <c r="AJ36" s="20">
        <f t="shared" si="18"/>
        <v>9185.8181818181838</v>
      </c>
      <c r="AK36" s="47">
        <f t="shared" si="8"/>
        <v>1.5277777777777777</v>
      </c>
    </row>
    <row r="37" spans="1:37" x14ac:dyDescent="0.25">
      <c r="A37" s="8" t="s">
        <v>20</v>
      </c>
      <c r="C37" s="8" t="s">
        <v>62</v>
      </c>
      <c r="D37" s="8">
        <v>4</v>
      </c>
      <c r="E37" s="8">
        <v>5</v>
      </c>
      <c r="F37" s="8">
        <v>1</v>
      </c>
      <c r="G37" s="8">
        <f t="shared" si="9"/>
        <v>10</v>
      </c>
      <c r="I37" s="8">
        <v>1</v>
      </c>
      <c r="K37" s="8">
        <f t="shared" si="10"/>
        <v>1</v>
      </c>
      <c r="L37" s="8">
        <v>0</v>
      </c>
      <c r="M37" s="8">
        <v>1</v>
      </c>
      <c r="N37" s="8">
        <v>0</v>
      </c>
      <c r="O37" s="8">
        <f t="shared" si="11"/>
        <v>1</v>
      </c>
      <c r="P37" s="31">
        <v>1.5</v>
      </c>
      <c r="Q37" s="31">
        <v>1.25</v>
      </c>
      <c r="R37" s="66">
        <f>IF(A37='Свод по районам'!$A$8,'Свод по районам'!$G$8,0)</f>
        <v>1.4355202218851693</v>
      </c>
      <c r="S37" s="76">
        <f>ROUND(((D37*$K$7+E37*$K$8+F37*$K$9)+(H37*$AA$7+I37*$AA$8+J37*$AA$9)+(L37*'по детям'!$K$10*0.2+M37*'по детям'!$K$11*0.2+N37*'по детям'!$K$12*0.2))*P37*Q37/1.302/12,1)</f>
        <v>607.6</v>
      </c>
      <c r="T37" s="12">
        <f t="shared" si="12"/>
        <v>379.94727272727272</v>
      </c>
      <c r="U37" s="11">
        <v>351.43799999999999</v>
      </c>
      <c r="V37" s="12">
        <f t="shared" si="13"/>
        <v>256.16200000000003</v>
      </c>
      <c r="W37" s="12">
        <f t="shared" si="0"/>
        <v>256.16200000000003</v>
      </c>
      <c r="X37" s="12">
        <f t="shared" si="1"/>
        <v>0</v>
      </c>
      <c r="Y37" s="20">
        <f t="shared" si="14"/>
        <v>28.50927272727273</v>
      </c>
      <c r="Z37" s="12">
        <f t="shared" si="15"/>
        <v>28.50927272727273</v>
      </c>
      <c r="AA37" s="12">
        <f t="shared" si="16"/>
        <v>0</v>
      </c>
      <c r="AB37" s="8">
        <v>10.7</v>
      </c>
      <c r="AC37" s="20">
        <f t="shared" si="2"/>
        <v>56785.046728971967</v>
      </c>
      <c r="AD37" s="20">
        <f t="shared" si="17"/>
        <v>35509.090909090904</v>
      </c>
      <c r="AE37" s="20">
        <f t="shared" si="3"/>
        <v>32844.672897196258</v>
      </c>
      <c r="AF37" s="21">
        <f t="shared" si="4"/>
        <v>23940.373831775709</v>
      </c>
      <c r="AG37" s="23">
        <f t="shared" si="5"/>
        <v>17.111111111111111</v>
      </c>
      <c r="AH37" s="20">
        <f t="shared" si="6"/>
        <v>35509.090909090904</v>
      </c>
      <c r="AI37" s="20">
        <f t="shared" si="7"/>
        <v>20538.584415584417</v>
      </c>
      <c r="AJ37" s="20">
        <f t="shared" si="18"/>
        <v>14970.506493506487</v>
      </c>
      <c r="AK37" s="47">
        <f t="shared" si="8"/>
        <v>1.5991692627206646</v>
      </c>
    </row>
    <row r="38" spans="1:37" x14ac:dyDescent="0.25">
      <c r="A38" s="8" t="s">
        <v>20</v>
      </c>
      <c r="B38" s="8" t="s">
        <v>263</v>
      </c>
      <c r="C38" s="8" t="s">
        <v>63</v>
      </c>
      <c r="D38" s="8">
        <v>1</v>
      </c>
      <c r="E38" s="8">
        <v>2</v>
      </c>
      <c r="G38" s="8">
        <f t="shared" si="9"/>
        <v>3</v>
      </c>
      <c r="I38" s="8">
        <v>1</v>
      </c>
      <c r="K38" s="8">
        <f t="shared" si="10"/>
        <v>1</v>
      </c>
      <c r="L38" s="8">
        <v>0</v>
      </c>
      <c r="M38" s="8">
        <v>0</v>
      </c>
      <c r="N38" s="8">
        <v>0</v>
      </c>
      <c r="O38" s="8">
        <f t="shared" si="11"/>
        <v>0</v>
      </c>
      <c r="P38" s="31">
        <v>1.5</v>
      </c>
      <c r="Q38" s="31">
        <v>1.25</v>
      </c>
      <c r="R38" s="66">
        <f>IF(A38='Свод по районам'!$A$8,'Свод по районам'!$G$8,0)</f>
        <v>1.4355202218851693</v>
      </c>
      <c r="S38" s="76">
        <f>ROUND(((D38*$K$7+E38*$K$8+F38*$K$9)+(H38*$AA$7+I38*$AA$8+J38*$AA$9)+(L38*'по детям'!$K$10*0.2+M38*'по детям'!$K$11*0.2+N38*'по детям'!$K$12*0.2))*P38*Q38/1.302/12,1)</f>
        <v>194.8</v>
      </c>
      <c r="T38" s="12">
        <f t="shared" si="12"/>
        <v>121.50891089108913</v>
      </c>
      <c r="U38" s="11">
        <v>137.71099999999998</v>
      </c>
      <c r="V38" s="12">
        <f t="shared" si="13"/>
        <v>57.089000000000027</v>
      </c>
      <c r="W38" s="12">
        <f t="shared" si="0"/>
        <v>57.089000000000027</v>
      </c>
      <c r="X38" s="12">
        <f t="shared" si="1"/>
        <v>0</v>
      </c>
      <c r="Y38" s="20">
        <f t="shared" si="14"/>
        <v>-16.202089108910855</v>
      </c>
      <c r="Z38" s="12">
        <f t="shared" si="15"/>
        <v>0</v>
      </c>
      <c r="AA38" s="12">
        <f t="shared" si="16"/>
        <v>-16.202089108910855</v>
      </c>
      <c r="AB38" s="8">
        <v>3.5</v>
      </c>
      <c r="AC38" s="20">
        <f t="shared" si="2"/>
        <v>55657.142857142855</v>
      </c>
      <c r="AD38" s="20">
        <f t="shared" si="17"/>
        <v>34716.831683168326</v>
      </c>
      <c r="AE38" s="20">
        <f t="shared" si="3"/>
        <v>39346</v>
      </c>
      <c r="AF38" s="21">
        <f t="shared" si="4"/>
        <v>16311.142857142855</v>
      </c>
      <c r="AG38" s="23">
        <f t="shared" si="5"/>
        <v>5.6111111111111107</v>
      </c>
      <c r="AH38" s="20">
        <f t="shared" si="6"/>
        <v>34716.831683168326</v>
      </c>
      <c r="AI38" s="20">
        <f t="shared" si="7"/>
        <v>24542.554455445545</v>
      </c>
      <c r="AJ38" s="20">
        <f t="shared" si="18"/>
        <v>10174.277227722781</v>
      </c>
      <c r="AK38" s="47">
        <f t="shared" si="8"/>
        <v>1.603174603174603</v>
      </c>
    </row>
    <row r="39" spans="1:37" x14ac:dyDescent="0.25">
      <c r="A39" s="8" t="s">
        <v>20</v>
      </c>
      <c r="C39" s="8" t="s">
        <v>64</v>
      </c>
      <c r="D39" s="8">
        <v>4</v>
      </c>
      <c r="E39" s="8">
        <v>5</v>
      </c>
      <c r="G39" s="8">
        <f t="shared" si="9"/>
        <v>9</v>
      </c>
      <c r="K39" s="8">
        <f t="shared" si="10"/>
        <v>0</v>
      </c>
      <c r="L39" s="8">
        <v>0</v>
      </c>
      <c r="M39" s="8">
        <v>7</v>
      </c>
      <c r="N39" s="8">
        <v>0</v>
      </c>
      <c r="O39" s="8">
        <f t="shared" si="11"/>
        <v>7</v>
      </c>
      <c r="P39" s="31">
        <v>1.5</v>
      </c>
      <c r="Q39" s="31">
        <v>1.25</v>
      </c>
      <c r="R39" s="66">
        <f>IF(A39='Свод по районам'!$A$8,'Свод по районам'!$G$8,0)</f>
        <v>1.4355202218851693</v>
      </c>
      <c r="S39" s="76">
        <f>ROUND(((D39*$K$7+E39*$K$8+F39*$K$9)+(H39*$AA$7+I39*$AA$8+J39*$AA$9)+(L39*'по детям'!$K$10*0.2+M39*'по детям'!$K$11*0.2+N39*'по детям'!$K$12*0.2))*P39*Q39/1.302/12,1)</f>
        <v>524.29999999999995</v>
      </c>
      <c r="T39" s="12">
        <f t="shared" si="12"/>
        <v>325.42758620689654</v>
      </c>
      <c r="U39" s="11">
        <v>272.29099999999994</v>
      </c>
      <c r="V39" s="12">
        <f t="shared" si="13"/>
        <v>252.00900000000001</v>
      </c>
      <c r="W39" s="12">
        <f t="shared" si="0"/>
        <v>252.00900000000001</v>
      </c>
      <c r="X39" s="12">
        <f t="shared" si="1"/>
        <v>0</v>
      </c>
      <c r="Y39" s="20">
        <f t="shared" si="14"/>
        <v>53.136586206896595</v>
      </c>
      <c r="Z39" s="12">
        <f t="shared" si="15"/>
        <v>53.136586206896595</v>
      </c>
      <c r="AA39" s="12">
        <f t="shared" si="16"/>
        <v>0</v>
      </c>
      <c r="AB39" s="8">
        <v>9</v>
      </c>
      <c r="AC39" s="20">
        <f t="shared" si="2"/>
        <v>58255.555555555555</v>
      </c>
      <c r="AD39" s="20">
        <f t="shared" si="17"/>
        <v>36158.620689655174</v>
      </c>
      <c r="AE39" s="20">
        <f t="shared" si="3"/>
        <v>30254.555555555547</v>
      </c>
      <c r="AF39" s="21">
        <f t="shared" si="4"/>
        <v>28001.000000000007</v>
      </c>
      <c r="AG39" s="23">
        <f t="shared" si="5"/>
        <v>14.5</v>
      </c>
      <c r="AH39" s="20">
        <f t="shared" si="6"/>
        <v>36158.620689655167</v>
      </c>
      <c r="AI39" s="20">
        <f t="shared" si="7"/>
        <v>18778.689655172409</v>
      </c>
      <c r="AJ39" s="20">
        <f t="shared" si="18"/>
        <v>17379.931034482757</v>
      </c>
      <c r="AK39" s="47">
        <f t="shared" si="8"/>
        <v>1.6111111111111112</v>
      </c>
    </row>
    <row r="40" spans="1:37" x14ac:dyDescent="0.25">
      <c r="A40" s="8" t="s">
        <v>20</v>
      </c>
      <c r="C40" s="8" t="s">
        <v>65</v>
      </c>
      <c r="D40" s="8">
        <v>4</v>
      </c>
      <c r="E40" s="8">
        <v>5</v>
      </c>
      <c r="F40" s="8">
        <v>0</v>
      </c>
      <c r="G40" s="8">
        <f t="shared" si="9"/>
        <v>9</v>
      </c>
      <c r="H40" s="8">
        <v>2</v>
      </c>
      <c r="K40" s="8">
        <f t="shared" si="10"/>
        <v>2</v>
      </c>
      <c r="L40" s="8">
        <v>0</v>
      </c>
      <c r="M40" s="8">
        <v>2</v>
      </c>
      <c r="N40" s="8">
        <v>0</v>
      </c>
      <c r="O40" s="8">
        <f t="shared" si="11"/>
        <v>2</v>
      </c>
      <c r="P40" s="31">
        <v>1.5</v>
      </c>
      <c r="Q40" s="31">
        <v>1.25</v>
      </c>
      <c r="R40" s="66">
        <f>IF(A40='Свод по районам'!$A$8,'Свод по районам'!$G$8,0)</f>
        <v>1.4355202218851693</v>
      </c>
      <c r="S40" s="76">
        <f>ROUND(((D40*$K$7+E40*$K$8+F40*$K$9)+(H40*$AA$7+I40*$AA$8+J40*$AA$9)+(L40*'по детям'!$K$10*0.2+M40*'по детям'!$K$11*0.2+N40*'по детям'!$K$12*0.2))*P40*Q40/1.302/12,1)</f>
        <v>544.5</v>
      </c>
      <c r="T40" s="12">
        <f t="shared" si="12"/>
        <v>353.82671480144404</v>
      </c>
      <c r="U40" s="11">
        <v>281.73899999999998</v>
      </c>
      <c r="V40" s="12">
        <f t="shared" si="13"/>
        <v>262.76100000000002</v>
      </c>
      <c r="W40" s="12">
        <f t="shared" si="0"/>
        <v>262.76100000000002</v>
      </c>
      <c r="X40" s="12">
        <f t="shared" si="1"/>
        <v>0</v>
      </c>
      <c r="Y40" s="20">
        <f t="shared" si="14"/>
        <v>72.087714801444065</v>
      </c>
      <c r="Z40" s="12">
        <f t="shared" si="15"/>
        <v>72.087714801444065</v>
      </c>
      <c r="AA40" s="12">
        <f t="shared" si="16"/>
        <v>0</v>
      </c>
      <c r="AB40" s="8">
        <v>10</v>
      </c>
      <c r="AC40" s="20">
        <f t="shared" si="2"/>
        <v>54450</v>
      </c>
      <c r="AD40" s="20">
        <f t="shared" si="17"/>
        <v>35382.671480144403</v>
      </c>
      <c r="AE40" s="20">
        <f t="shared" si="3"/>
        <v>28173.899999999998</v>
      </c>
      <c r="AF40" s="21">
        <f t="shared" si="4"/>
        <v>26276.100000000002</v>
      </c>
      <c r="AG40" s="23">
        <f t="shared" si="5"/>
        <v>15.388888888888889</v>
      </c>
      <c r="AH40" s="20">
        <f t="shared" si="6"/>
        <v>35382.671480144403</v>
      </c>
      <c r="AI40" s="20">
        <f t="shared" si="7"/>
        <v>18307.949458483752</v>
      </c>
      <c r="AJ40" s="20">
        <f t="shared" si="18"/>
        <v>17074.722021660651</v>
      </c>
      <c r="AK40" s="47">
        <f t="shared" si="8"/>
        <v>1.538888888888889</v>
      </c>
    </row>
    <row r="41" spans="1:37" x14ac:dyDescent="0.25">
      <c r="A41" s="8" t="s">
        <v>20</v>
      </c>
      <c r="B41" s="8" t="s">
        <v>263</v>
      </c>
      <c r="C41" s="8" t="s">
        <v>66</v>
      </c>
      <c r="D41" s="8">
        <v>2</v>
      </c>
      <c r="E41" s="8">
        <v>3</v>
      </c>
      <c r="G41" s="8">
        <f t="shared" si="9"/>
        <v>5</v>
      </c>
      <c r="K41" s="8">
        <f t="shared" si="10"/>
        <v>0</v>
      </c>
      <c r="L41" s="8">
        <v>1</v>
      </c>
      <c r="M41" s="8">
        <v>0</v>
      </c>
      <c r="N41" s="8">
        <v>0</v>
      </c>
      <c r="O41" s="8">
        <f t="shared" si="11"/>
        <v>1</v>
      </c>
      <c r="P41" s="31">
        <v>1.5</v>
      </c>
      <c r="Q41" s="31">
        <v>1.25</v>
      </c>
      <c r="R41" s="66">
        <f>IF(A41='Свод по районам'!$A$8,'Свод по районам'!$G$8,0)</f>
        <v>1.4355202218851693</v>
      </c>
      <c r="S41" s="76">
        <f>ROUND(((D41*$K$7+E41*$K$8+F41*$K$9)+(H41*$AA$7+I41*$AA$8+J41*$AA$9)+(L41*'по детям'!$K$10*0.2+M41*'по детям'!$K$11*0.2+N41*'по детям'!$K$12*0.2))*P41*Q41/1.302/12,1)</f>
        <v>293</v>
      </c>
      <c r="T41" s="12">
        <f t="shared" si="12"/>
        <v>179.38775510204081</v>
      </c>
      <c r="U41" s="11">
        <v>181.357</v>
      </c>
      <c r="V41" s="12">
        <f t="shared" si="13"/>
        <v>111.643</v>
      </c>
      <c r="W41" s="12">
        <f t="shared" si="0"/>
        <v>111.643</v>
      </c>
      <c r="X41" s="12">
        <f t="shared" si="1"/>
        <v>0</v>
      </c>
      <c r="Y41" s="20">
        <f t="shared" si="14"/>
        <v>-1.9692448979591859</v>
      </c>
      <c r="Z41" s="12">
        <f t="shared" si="15"/>
        <v>0</v>
      </c>
      <c r="AA41" s="12">
        <f t="shared" si="16"/>
        <v>-1.9692448979591859</v>
      </c>
      <c r="AB41" s="8">
        <v>5</v>
      </c>
      <c r="AC41" s="20">
        <f t="shared" si="2"/>
        <v>58600</v>
      </c>
      <c r="AD41" s="20">
        <f t="shared" si="17"/>
        <v>35877.551020408166</v>
      </c>
      <c r="AE41" s="20">
        <f t="shared" si="3"/>
        <v>36271.4</v>
      </c>
      <c r="AF41" s="21">
        <f t="shared" si="4"/>
        <v>22328.6</v>
      </c>
      <c r="AG41" s="23">
        <f t="shared" si="5"/>
        <v>8.1666666666666661</v>
      </c>
      <c r="AH41" s="20">
        <f t="shared" si="6"/>
        <v>35877.551020408166</v>
      </c>
      <c r="AI41" s="20">
        <f t="shared" si="7"/>
        <v>22206.979591836734</v>
      </c>
      <c r="AJ41" s="20">
        <f t="shared" si="18"/>
        <v>13670.571428571431</v>
      </c>
      <c r="AK41" s="47">
        <f t="shared" si="8"/>
        <v>1.6333333333333333</v>
      </c>
    </row>
    <row r="42" spans="1:37" x14ac:dyDescent="0.25">
      <c r="A42" s="8" t="s">
        <v>20</v>
      </c>
      <c r="B42" s="8" t="s">
        <v>263</v>
      </c>
      <c r="C42" s="8" t="s">
        <v>67</v>
      </c>
      <c r="D42" s="8">
        <v>1</v>
      </c>
      <c r="G42" s="8">
        <f t="shared" si="9"/>
        <v>1</v>
      </c>
      <c r="K42" s="8">
        <f t="shared" si="10"/>
        <v>0</v>
      </c>
      <c r="L42" s="8">
        <v>0</v>
      </c>
      <c r="M42" s="8">
        <v>0</v>
      </c>
      <c r="N42" s="8">
        <v>0</v>
      </c>
      <c r="O42" s="8">
        <f t="shared" si="11"/>
        <v>0</v>
      </c>
      <c r="P42" s="31">
        <v>1.5</v>
      </c>
      <c r="Q42" s="31">
        <v>1.25</v>
      </c>
      <c r="R42" s="66">
        <f>IF(A42='Свод по районам'!$A$8,'Свод по районам'!$G$8,0)</f>
        <v>1.4355202218851693</v>
      </c>
      <c r="S42" s="76">
        <f>ROUND(((D42*$K$7+E42*$K$8+F42*$K$9)+(H42*$AA$7+I42*$AA$8+J42*$AA$9)+(L42*'по детям'!$K$10*0.2+M42*'по детям'!$K$11*0.2+N42*'по детям'!$K$12*0.2))*P42*Q42/1.302/12,1)</f>
        <v>48.2</v>
      </c>
      <c r="T42" s="12">
        <f t="shared" si="12"/>
        <v>36.150000000000006</v>
      </c>
      <c r="U42" s="11">
        <v>42.277000000000001</v>
      </c>
      <c r="V42" s="12">
        <f t="shared" si="13"/>
        <v>5.9230000000000018</v>
      </c>
      <c r="W42" s="12">
        <f t="shared" si="0"/>
        <v>5.9230000000000018</v>
      </c>
      <c r="X42" s="12">
        <f t="shared" si="1"/>
        <v>0</v>
      </c>
      <c r="Y42" s="20">
        <f t="shared" si="14"/>
        <v>-6.1269999999999953</v>
      </c>
      <c r="Z42" s="12">
        <f t="shared" si="15"/>
        <v>0</v>
      </c>
      <c r="AA42" s="12">
        <f t="shared" si="16"/>
        <v>-6.1269999999999953</v>
      </c>
      <c r="AB42" s="8">
        <v>1</v>
      </c>
      <c r="AC42" s="20">
        <f t="shared" si="2"/>
        <v>48200</v>
      </c>
      <c r="AD42" s="20">
        <f t="shared" si="17"/>
        <v>36150.000000000007</v>
      </c>
      <c r="AE42" s="20">
        <f t="shared" si="3"/>
        <v>42277</v>
      </c>
      <c r="AF42" s="21">
        <f t="shared" si="4"/>
        <v>5923</v>
      </c>
      <c r="AG42" s="23">
        <f t="shared" si="5"/>
        <v>1.3333333333333333</v>
      </c>
      <c r="AH42" s="20">
        <f t="shared" si="6"/>
        <v>36150.000000000007</v>
      </c>
      <c r="AI42" s="20">
        <f t="shared" si="7"/>
        <v>31707.75</v>
      </c>
      <c r="AJ42" s="20">
        <f t="shared" si="18"/>
        <v>4442.2500000000073</v>
      </c>
      <c r="AK42" s="47">
        <f t="shared" si="8"/>
        <v>1.3333333333333333</v>
      </c>
    </row>
    <row r="43" spans="1:37" x14ac:dyDescent="0.25">
      <c r="A43" s="8" t="s">
        <v>21</v>
      </c>
      <c r="B43" s="8" t="s">
        <v>263</v>
      </c>
      <c r="C43" s="8" t="s">
        <v>68</v>
      </c>
      <c r="D43" s="8">
        <v>3</v>
      </c>
      <c r="E43" s="8">
        <v>2</v>
      </c>
      <c r="G43" s="8">
        <f t="shared" si="9"/>
        <v>5</v>
      </c>
      <c r="K43" s="8">
        <f t="shared" si="10"/>
        <v>0</v>
      </c>
      <c r="L43" s="8">
        <v>0</v>
      </c>
      <c r="M43" s="8">
        <v>0</v>
      </c>
      <c r="N43" s="8">
        <v>0</v>
      </c>
      <c r="O43" s="8">
        <f t="shared" si="11"/>
        <v>0</v>
      </c>
      <c r="P43" s="31">
        <v>1.5</v>
      </c>
      <c r="Q43" s="31">
        <v>1.25</v>
      </c>
      <c r="R43" s="66">
        <f>IF(A43='Свод по районам'!$A$9,'Свод по районам'!$G$9,0)</f>
        <v>1.4603359394739179</v>
      </c>
      <c r="S43" s="76">
        <f>ROUND(((D43*$K$7+E43*$K$8+F43*$K$9)+(H43*$AA$7+I43*$AA$8+J43*$AA$9)+(L43*'по детям'!$K$10*0.2+M43*'по детям'!$K$11*0.2+N43*'по детям'!$K$12*0.2))*P43*Q43/1.302/12,1)</f>
        <v>275.3</v>
      </c>
      <c r="T43" s="12">
        <f t="shared" si="12"/>
        <v>201.08869565217393</v>
      </c>
      <c r="U43" s="11">
        <v>191.62597</v>
      </c>
      <c r="V43" s="12">
        <f t="shared" si="13"/>
        <v>83.674030000000016</v>
      </c>
      <c r="W43" s="12">
        <f t="shared" si="0"/>
        <v>83.674030000000016</v>
      </c>
      <c r="X43" s="12">
        <f t="shared" si="1"/>
        <v>0</v>
      </c>
      <c r="Y43" s="20">
        <f t="shared" si="14"/>
        <v>9.4627256521739298</v>
      </c>
      <c r="Z43" s="12">
        <f t="shared" si="15"/>
        <v>9.4627256521739298</v>
      </c>
      <c r="AA43" s="12">
        <f t="shared" si="16"/>
        <v>0</v>
      </c>
      <c r="AB43" s="8">
        <v>5.6</v>
      </c>
      <c r="AC43" s="20">
        <f t="shared" si="2"/>
        <v>49160.71428571429</v>
      </c>
      <c r="AD43" s="20">
        <f t="shared" si="17"/>
        <v>35908.695652173919</v>
      </c>
      <c r="AE43" s="20">
        <f t="shared" si="3"/>
        <v>34218.923214285714</v>
      </c>
      <c r="AF43" s="21">
        <f t="shared" si="4"/>
        <v>14941.791071428575</v>
      </c>
      <c r="AG43" s="23">
        <f t="shared" si="5"/>
        <v>7.6666666666666661</v>
      </c>
      <c r="AH43" s="20">
        <f t="shared" si="6"/>
        <v>35908.695652173919</v>
      </c>
      <c r="AI43" s="20">
        <f t="shared" si="7"/>
        <v>24994.691739130434</v>
      </c>
      <c r="AJ43" s="20">
        <f t="shared" si="18"/>
        <v>10914.003913043485</v>
      </c>
      <c r="AK43" s="47">
        <f t="shared" si="8"/>
        <v>1.3690476190476191</v>
      </c>
    </row>
    <row r="44" spans="1:37" x14ac:dyDescent="0.25">
      <c r="A44" s="8" t="s">
        <v>21</v>
      </c>
      <c r="C44" s="8" t="s">
        <v>69</v>
      </c>
      <c r="D44" s="8">
        <v>4</v>
      </c>
      <c r="E44" s="8">
        <v>4</v>
      </c>
      <c r="F44" s="8">
        <v>1</v>
      </c>
      <c r="G44" s="8">
        <f t="shared" si="9"/>
        <v>9</v>
      </c>
      <c r="K44" s="8">
        <f t="shared" si="10"/>
        <v>0</v>
      </c>
      <c r="L44" s="8">
        <v>2</v>
      </c>
      <c r="M44" s="8">
        <v>4</v>
      </c>
      <c r="N44" s="8">
        <v>0</v>
      </c>
      <c r="O44" s="8">
        <f t="shared" si="11"/>
        <v>6</v>
      </c>
      <c r="P44" s="31">
        <v>1.5</v>
      </c>
      <c r="Q44" s="31">
        <v>1.25</v>
      </c>
      <c r="R44" s="66">
        <f>IF(A44='Свод по районам'!$A$9,'Свод по районам'!$G$9,0)</f>
        <v>1.4603359394739179</v>
      </c>
      <c r="S44" s="76">
        <f>ROUND(((D44*$K$7+E44*$K$8+F44*$K$9)+(H44*$AA$7+I44*$AA$8+J44*$AA$9)+(L44*'по детям'!$K$10*0.2+M44*'по детям'!$K$11*0.2+N44*'по детям'!$K$12*0.2))*P44*Q44/1.302/12,1)</f>
        <v>529.20000000000005</v>
      </c>
      <c r="T44" s="12">
        <f t="shared" si="12"/>
        <v>288.65454545454548</v>
      </c>
      <c r="U44" s="11">
        <v>275.29141999999996</v>
      </c>
      <c r="V44" s="12">
        <f t="shared" si="13"/>
        <v>253.90858000000009</v>
      </c>
      <c r="W44" s="12">
        <f t="shared" si="0"/>
        <v>253.90858000000009</v>
      </c>
      <c r="X44" s="12">
        <f t="shared" si="1"/>
        <v>0</v>
      </c>
      <c r="Y44" s="20">
        <f t="shared" si="14"/>
        <v>13.363125454545525</v>
      </c>
      <c r="Z44" s="12">
        <f t="shared" si="15"/>
        <v>13.363125454545525</v>
      </c>
      <c r="AA44" s="12">
        <f t="shared" si="16"/>
        <v>0</v>
      </c>
      <c r="AB44" s="8">
        <v>8</v>
      </c>
      <c r="AC44" s="20">
        <f t="shared" si="2"/>
        <v>66150</v>
      </c>
      <c r="AD44" s="20">
        <f t="shared" si="17"/>
        <v>36081.818181818184</v>
      </c>
      <c r="AE44" s="20">
        <f t="shared" si="3"/>
        <v>34411.427499999998</v>
      </c>
      <c r="AF44" s="21">
        <f t="shared" si="4"/>
        <v>31738.572500000002</v>
      </c>
      <c r="AG44" s="23">
        <f t="shared" si="5"/>
        <v>14.666666666666666</v>
      </c>
      <c r="AH44" s="20">
        <f t="shared" si="6"/>
        <v>36081.818181818184</v>
      </c>
      <c r="AI44" s="20">
        <f t="shared" si="7"/>
        <v>18769.869545454545</v>
      </c>
      <c r="AJ44" s="20">
        <f t="shared" si="18"/>
        <v>17311.948636363639</v>
      </c>
      <c r="AK44" s="47">
        <f t="shared" si="8"/>
        <v>1.8333333333333333</v>
      </c>
    </row>
    <row r="45" spans="1:37" x14ac:dyDescent="0.25">
      <c r="A45" s="8" t="s">
        <v>21</v>
      </c>
      <c r="B45" s="8" t="s">
        <v>263</v>
      </c>
      <c r="C45" s="8" t="s">
        <v>70</v>
      </c>
      <c r="D45" s="8">
        <v>2</v>
      </c>
      <c r="E45" s="8">
        <v>4</v>
      </c>
      <c r="F45" s="8">
        <v>1</v>
      </c>
      <c r="G45" s="8">
        <f t="shared" si="9"/>
        <v>7</v>
      </c>
      <c r="K45" s="8">
        <f t="shared" si="10"/>
        <v>0</v>
      </c>
      <c r="L45" s="8">
        <v>0</v>
      </c>
      <c r="M45" s="8">
        <v>0</v>
      </c>
      <c r="N45" s="8">
        <v>0</v>
      </c>
      <c r="O45" s="8">
        <f t="shared" si="11"/>
        <v>0</v>
      </c>
      <c r="P45" s="31">
        <v>1.5</v>
      </c>
      <c r="Q45" s="31">
        <v>1.25</v>
      </c>
      <c r="R45" s="66">
        <f>IF(A45='Свод по районам'!$A$9,'Свод по районам'!$G$9,0)</f>
        <v>1.4603359394739179</v>
      </c>
      <c r="S45" s="76">
        <f>ROUND(((D45*$K$7+E45*$K$8+F45*$K$9)+(H45*$AA$7+I45*$AA$8+J45*$AA$9)+(L45*'по детям'!$K$10*0.2+M45*'по детям'!$K$11*0.2+N45*'по детям'!$K$12*0.2))*P45*Q45/1.302/12,1)</f>
        <v>429.3</v>
      </c>
      <c r="T45" s="12">
        <f t="shared" si="12"/>
        <v>389.94749999999999</v>
      </c>
      <c r="U45" s="11">
        <v>299.26037000000002</v>
      </c>
      <c r="V45" s="12">
        <f t="shared" si="13"/>
        <v>130.03962999999999</v>
      </c>
      <c r="W45" s="12">
        <f t="shared" si="0"/>
        <v>130.03962999999999</v>
      </c>
      <c r="X45" s="12">
        <f t="shared" si="1"/>
        <v>0</v>
      </c>
      <c r="Y45" s="20">
        <f t="shared" si="14"/>
        <v>90.687129999999968</v>
      </c>
      <c r="Z45" s="12">
        <f t="shared" si="15"/>
        <v>90.687129999999968</v>
      </c>
      <c r="AA45" s="12">
        <f t="shared" si="16"/>
        <v>0</v>
      </c>
      <c r="AB45" s="8">
        <v>10.9</v>
      </c>
      <c r="AC45" s="20">
        <f t="shared" si="2"/>
        <v>39385.321100917434</v>
      </c>
      <c r="AD45" s="20">
        <f t="shared" si="17"/>
        <v>35775</v>
      </c>
      <c r="AE45" s="20">
        <f t="shared" si="3"/>
        <v>27455.079816513764</v>
      </c>
      <c r="AF45" s="21">
        <f t="shared" si="4"/>
        <v>11930.24128440367</v>
      </c>
      <c r="AG45" s="23">
        <f t="shared" si="5"/>
        <v>12</v>
      </c>
      <c r="AH45" s="20">
        <f t="shared" si="6"/>
        <v>35775</v>
      </c>
      <c r="AI45" s="20">
        <f t="shared" si="7"/>
        <v>24938.36416666667</v>
      </c>
      <c r="AJ45" s="20">
        <f t="shared" si="18"/>
        <v>10836.63583333333</v>
      </c>
      <c r="AK45" s="47">
        <f t="shared" si="8"/>
        <v>1.1009174311926606</v>
      </c>
    </row>
    <row r="46" spans="1:37" x14ac:dyDescent="0.25">
      <c r="A46" s="8" t="s">
        <v>21</v>
      </c>
      <c r="B46" s="8" t="s">
        <v>263</v>
      </c>
      <c r="C46" s="8" t="s">
        <v>71</v>
      </c>
      <c r="D46" s="8">
        <v>1</v>
      </c>
      <c r="E46" s="8">
        <v>3</v>
      </c>
      <c r="G46" s="8">
        <f t="shared" si="9"/>
        <v>4</v>
      </c>
      <c r="H46" s="8">
        <v>1</v>
      </c>
      <c r="K46" s="8">
        <f t="shared" si="10"/>
        <v>1</v>
      </c>
      <c r="L46" s="8">
        <v>0</v>
      </c>
      <c r="M46" s="8">
        <v>0</v>
      </c>
      <c r="N46" s="8">
        <v>0</v>
      </c>
      <c r="O46" s="8">
        <f t="shared" si="11"/>
        <v>0</v>
      </c>
      <c r="P46" s="31">
        <v>1.5</v>
      </c>
      <c r="Q46" s="31">
        <v>1.25</v>
      </c>
      <c r="R46" s="66">
        <f>IF(A46='Свод по районам'!$A$9,'Свод по районам'!$G$9,0)</f>
        <v>1.4603359394739179</v>
      </c>
      <c r="S46" s="76">
        <f>ROUND(((D46*$K$7+E46*$K$8+F46*$K$9)+(H46*$AA$7+I46*$AA$8+J46*$AA$9)+(L46*'по детям'!$K$10*0.2+M46*'по детям'!$K$11*0.2+N46*'по детям'!$K$12*0.2))*P46*Q46/1.302/12,1)</f>
        <v>256.10000000000002</v>
      </c>
      <c r="T46" s="12">
        <f t="shared" si="12"/>
        <v>165.38977099236644</v>
      </c>
      <c r="U46" s="11">
        <v>129.88830000000002</v>
      </c>
      <c r="V46" s="12">
        <f t="shared" si="13"/>
        <v>126.21170000000001</v>
      </c>
      <c r="W46" s="12">
        <f t="shared" si="0"/>
        <v>126.21170000000001</v>
      </c>
      <c r="X46" s="12">
        <f t="shared" si="1"/>
        <v>0</v>
      </c>
      <c r="Y46" s="20">
        <f t="shared" si="14"/>
        <v>35.501470992366421</v>
      </c>
      <c r="Z46" s="12">
        <f t="shared" si="15"/>
        <v>35.501470992366421</v>
      </c>
      <c r="AA46" s="12">
        <f t="shared" si="16"/>
        <v>0</v>
      </c>
      <c r="AB46" s="8">
        <v>4.7</v>
      </c>
      <c r="AC46" s="20">
        <f t="shared" si="2"/>
        <v>54489.361702127659</v>
      </c>
      <c r="AD46" s="20">
        <f t="shared" si="17"/>
        <v>35189.312977099238</v>
      </c>
      <c r="AE46" s="20">
        <f t="shared" si="3"/>
        <v>27635.808510638301</v>
      </c>
      <c r="AF46" s="21">
        <f t="shared" si="4"/>
        <v>26853.553191489358</v>
      </c>
      <c r="AG46" s="23">
        <f t="shared" si="5"/>
        <v>7.2777777777777777</v>
      </c>
      <c r="AH46" s="20">
        <f t="shared" si="6"/>
        <v>35189.312977099238</v>
      </c>
      <c r="AI46" s="20">
        <f t="shared" si="7"/>
        <v>17847.247328244277</v>
      </c>
      <c r="AJ46" s="20">
        <f t="shared" si="18"/>
        <v>17342.065648854961</v>
      </c>
      <c r="AK46" s="47">
        <f t="shared" si="8"/>
        <v>1.5484633569739952</v>
      </c>
    </row>
    <row r="47" spans="1:37" x14ac:dyDescent="0.25">
      <c r="A47" s="8" t="s">
        <v>21</v>
      </c>
      <c r="B47" s="8" t="s">
        <v>263</v>
      </c>
      <c r="C47" s="8" t="s">
        <v>72</v>
      </c>
      <c r="D47" s="8">
        <v>2</v>
      </c>
      <c r="G47" s="8">
        <f t="shared" si="9"/>
        <v>2</v>
      </c>
      <c r="K47" s="8">
        <f t="shared" si="10"/>
        <v>0</v>
      </c>
      <c r="L47" s="8">
        <v>0</v>
      </c>
      <c r="M47" s="8">
        <v>0</v>
      </c>
      <c r="N47" s="8">
        <v>0</v>
      </c>
      <c r="O47" s="8">
        <f t="shared" si="11"/>
        <v>0</v>
      </c>
      <c r="P47" s="31">
        <v>1.5</v>
      </c>
      <c r="Q47" s="31">
        <v>1.25</v>
      </c>
      <c r="R47" s="66">
        <f>IF(A47='Свод по районам'!$A$9,'Свод по районам'!$G$9,0)</f>
        <v>1.4603359394739179</v>
      </c>
      <c r="S47" s="76">
        <f>ROUND(((D47*$K$7+E47*$K$8+F47*$K$9)+(H47*$AA$7+I47*$AA$8+J47*$AA$9)+(L47*'по детям'!$K$10*0.2+M47*'по детям'!$K$11*0.2+N47*'по детям'!$K$12*0.2))*P47*Q47/1.302/12,1)</f>
        <v>96.3</v>
      </c>
      <c r="T47" s="12">
        <f t="shared" si="12"/>
        <v>72.225000000000009</v>
      </c>
      <c r="U47" s="11">
        <v>97.3</v>
      </c>
      <c r="V47" s="12">
        <f t="shared" si="13"/>
        <v>-1</v>
      </c>
      <c r="W47" s="12">
        <f t="shared" si="0"/>
        <v>0</v>
      </c>
      <c r="X47" s="12">
        <f t="shared" si="1"/>
        <v>-1</v>
      </c>
      <c r="Y47" s="20">
        <f t="shared" si="14"/>
        <v>-25.074999999999989</v>
      </c>
      <c r="Z47" s="12">
        <f t="shared" si="15"/>
        <v>0</v>
      </c>
      <c r="AA47" s="12">
        <f t="shared" si="16"/>
        <v>-25.074999999999989</v>
      </c>
      <c r="AB47" s="8">
        <v>2</v>
      </c>
      <c r="AC47" s="20">
        <f t="shared" si="2"/>
        <v>48150</v>
      </c>
      <c r="AD47" s="20">
        <f t="shared" si="17"/>
        <v>36112.500000000007</v>
      </c>
      <c r="AE47" s="20">
        <f t="shared" si="3"/>
        <v>48650</v>
      </c>
      <c r="AF47" s="21">
        <f t="shared" si="4"/>
        <v>-500</v>
      </c>
      <c r="AG47" s="23">
        <f t="shared" si="5"/>
        <v>2.6666666666666665</v>
      </c>
      <c r="AH47" s="20">
        <f t="shared" si="6"/>
        <v>36112.500000000007</v>
      </c>
      <c r="AI47" s="20">
        <f t="shared" si="7"/>
        <v>36487.500000000007</v>
      </c>
      <c r="AJ47" s="20">
        <f t="shared" si="18"/>
        <v>-375</v>
      </c>
      <c r="AK47" s="47">
        <f t="shared" si="8"/>
        <v>1.3333333333333333</v>
      </c>
    </row>
    <row r="48" spans="1:37" x14ac:dyDescent="0.25">
      <c r="A48" s="8" t="s">
        <v>21</v>
      </c>
      <c r="C48" s="8" t="s">
        <v>73</v>
      </c>
      <c r="D48" s="8">
        <v>3</v>
      </c>
      <c r="E48" s="8">
        <v>2</v>
      </c>
      <c r="F48" s="8">
        <v>1</v>
      </c>
      <c r="G48" s="8">
        <f t="shared" si="9"/>
        <v>6</v>
      </c>
      <c r="K48" s="8">
        <f t="shared" si="10"/>
        <v>0</v>
      </c>
      <c r="L48" s="8">
        <v>0</v>
      </c>
      <c r="M48" s="8">
        <v>0</v>
      </c>
      <c r="N48" s="8">
        <v>0</v>
      </c>
      <c r="O48" s="8">
        <f t="shared" si="11"/>
        <v>0</v>
      </c>
      <c r="P48" s="31">
        <v>1.5</v>
      </c>
      <c r="Q48" s="31">
        <v>1.25</v>
      </c>
      <c r="R48" s="66">
        <f>IF(A48='Свод по районам'!$A$9,'Свод по районам'!$G$9,0)</f>
        <v>1.4603359394739179</v>
      </c>
      <c r="S48" s="76">
        <f>ROUND(((D48*$K$7+E48*$K$8+F48*$K$9)+(H48*$AA$7+I48*$AA$8+J48*$AA$9)+(L48*'по детям'!$K$10*0.2+M48*'по детям'!$K$11*0.2+N48*'по детям'!$K$12*0.2))*P48*Q48/1.302/12,1)</f>
        <v>346.7</v>
      </c>
      <c r="T48" s="12">
        <f t="shared" si="12"/>
        <v>215.19310344827588</v>
      </c>
      <c r="U48" s="11">
        <v>222.31416000000002</v>
      </c>
      <c r="V48" s="12">
        <f t="shared" si="13"/>
        <v>124.38583999999997</v>
      </c>
      <c r="W48" s="12">
        <f t="shared" si="0"/>
        <v>124.38583999999997</v>
      </c>
      <c r="X48" s="12">
        <f t="shared" si="1"/>
        <v>0</v>
      </c>
      <c r="Y48" s="20">
        <f t="shared" si="14"/>
        <v>-7.1210565517241378</v>
      </c>
      <c r="Z48" s="12">
        <f t="shared" si="15"/>
        <v>0</v>
      </c>
      <c r="AA48" s="12">
        <f t="shared" si="16"/>
        <v>-7.1210565517241378</v>
      </c>
      <c r="AB48" s="8">
        <v>6</v>
      </c>
      <c r="AC48" s="20">
        <f t="shared" si="2"/>
        <v>57783.333333333328</v>
      </c>
      <c r="AD48" s="20">
        <f t="shared" si="17"/>
        <v>35865.517241379319</v>
      </c>
      <c r="AE48" s="20">
        <f t="shared" si="3"/>
        <v>37052.36</v>
      </c>
      <c r="AF48" s="21">
        <f t="shared" si="4"/>
        <v>20730.973333333328</v>
      </c>
      <c r="AG48" s="23">
        <f t="shared" si="5"/>
        <v>9.6666666666666661</v>
      </c>
      <c r="AH48" s="20">
        <f t="shared" si="6"/>
        <v>35865.517241379312</v>
      </c>
      <c r="AI48" s="20">
        <f t="shared" si="7"/>
        <v>22998.01655172414</v>
      </c>
      <c r="AJ48" s="20">
        <f t="shared" si="18"/>
        <v>12867.500689655171</v>
      </c>
      <c r="AK48" s="47">
        <f t="shared" si="8"/>
        <v>1.6111111111111109</v>
      </c>
    </row>
    <row r="49" spans="1:37" x14ac:dyDescent="0.25">
      <c r="A49" s="8" t="s">
        <v>21</v>
      </c>
      <c r="B49" s="8" t="s">
        <v>263</v>
      </c>
      <c r="C49" s="8" t="s">
        <v>74</v>
      </c>
      <c r="D49" s="8">
        <v>2</v>
      </c>
      <c r="E49" s="8">
        <v>2</v>
      </c>
      <c r="G49" s="8">
        <f t="shared" si="9"/>
        <v>4</v>
      </c>
      <c r="K49" s="8">
        <f t="shared" si="10"/>
        <v>0</v>
      </c>
      <c r="L49" s="8">
        <v>0</v>
      </c>
      <c r="M49" s="8">
        <v>0</v>
      </c>
      <c r="N49" s="8">
        <v>0</v>
      </c>
      <c r="O49" s="8">
        <f t="shared" si="11"/>
        <v>0</v>
      </c>
      <c r="P49" s="31">
        <v>1.5</v>
      </c>
      <c r="Q49" s="31">
        <v>1.25</v>
      </c>
      <c r="R49" s="66">
        <f>IF(A49='Свод по районам'!$A$9,'Свод по районам'!$G$9,0)</f>
        <v>1.4603359394739179</v>
      </c>
      <c r="S49" s="76">
        <f>ROUND(((D49*$K$7+E49*$K$8+F49*$K$9)+(H49*$AA$7+I49*$AA$8+J49*$AA$9)+(L49*'по детям'!$K$10*0.2+M49*'по детям'!$K$11*0.2+N49*'по детям'!$K$12*0.2))*P49*Q49/1.302/12,1)</f>
        <v>227.2</v>
      </c>
      <c r="T49" s="12">
        <f t="shared" si="12"/>
        <v>200.89263157894737</v>
      </c>
      <c r="U49" s="11">
        <v>144.68077999999997</v>
      </c>
      <c r="V49" s="12">
        <f t="shared" si="13"/>
        <v>82.519220000000018</v>
      </c>
      <c r="W49" s="12">
        <f t="shared" si="0"/>
        <v>82.519220000000018</v>
      </c>
      <c r="X49" s="12">
        <f t="shared" si="1"/>
        <v>0</v>
      </c>
      <c r="Y49" s="20">
        <f t="shared" si="14"/>
        <v>56.211851578947403</v>
      </c>
      <c r="Z49" s="12">
        <f t="shared" si="15"/>
        <v>56.211851578947403</v>
      </c>
      <c r="AA49" s="12">
        <f t="shared" si="16"/>
        <v>0</v>
      </c>
      <c r="AB49" s="8">
        <v>5.6</v>
      </c>
      <c r="AC49" s="20">
        <f t="shared" si="2"/>
        <v>40571.428571428572</v>
      </c>
      <c r="AD49" s="20">
        <f t="shared" si="17"/>
        <v>35873.68421052632</v>
      </c>
      <c r="AE49" s="20">
        <f t="shared" si="3"/>
        <v>25835.853571428568</v>
      </c>
      <c r="AF49" s="21">
        <f t="shared" si="4"/>
        <v>14735.575000000004</v>
      </c>
      <c r="AG49" s="23">
        <f t="shared" si="5"/>
        <v>6.333333333333333</v>
      </c>
      <c r="AH49" s="20">
        <f t="shared" si="6"/>
        <v>35873.684210526313</v>
      </c>
      <c r="AI49" s="20">
        <f t="shared" si="7"/>
        <v>22844.33368421052</v>
      </c>
      <c r="AJ49" s="20">
        <f t="shared" si="18"/>
        <v>13029.350526315793</v>
      </c>
      <c r="AK49" s="47">
        <f t="shared" si="8"/>
        <v>1.1309523809523809</v>
      </c>
    </row>
    <row r="50" spans="1:37" x14ac:dyDescent="0.25">
      <c r="A50" s="8" t="s">
        <v>21</v>
      </c>
      <c r="B50" s="8" t="s">
        <v>263</v>
      </c>
      <c r="C50" s="8" t="s">
        <v>75</v>
      </c>
      <c r="D50" s="8">
        <v>3</v>
      </c>
      <c r="E50" s="8">
        <v>3</v>
      </c>
      <c r="F50" s="8">
        <v>1</v>
      </c>
      <c r="G50" s="8">
        <f t="shared" si="9"/>
        <v>7</v>
      </c>
      <c r="K50" s="8">
        <f t="shared" si="10"/>
        <v>0</v>
      </c>
      <c r="L50" s="8">
        <v>0</v>
      </c>
      <c r="M50" s="8">
        <v>0</v>
      </c>
      <c r="N50" s="8">
        <v>0</v>
      </c>
      <c r="O50" s="8">
        <f t="shared" si="11"/>
        <v>0</v>
      </c>
      <c r="P50" s="31">
        <v>1.5</v>
      </c>
      <c r="Q50" s="31">
        <v>1.25</v>
      </c>
      <c r="R50" s="66">
        <f>IF(A50='Свод по районам'!$A$9,'Свод по районам'!$G$9,0)</f>
        <v>1.4603359394739179</v>
      </c>
      <c r="S50" s="76">
        <f>ROUND(((D50*$K$7+E50*$K$8+F50*$K$9)+(H50*$AA$7+I50*$AA$8+J50*$AA$9)+(L50*'по детям'!$K$10*0.2+M50*'по детям'!$K$11*0.2+N50*'по детям'!$K$12*0.2))*P50*Q50/1.302/12,1)</f>
        <v>412.1</v>
      </c>
      <c r="T50" s="12">
        <f t="shared" si="12"/>
        <v>433.60086956521741</v>
      </c>
      <c r="U50" s="11">
        <v>278.61496999999997</v>
      </c>
      <c r="V50" s="12">
        <f t="shared" si="13"/>
        <v>133.48503000000005</v>
      </c>
      <c r="W50" s="12">
        <f t="shared" si="0"/>
        <v>133.48503000000005</v>
      </c>
      <c r="X50" s="12">
        <f t="shared" si="1"/>
        <v>0</v>
      </c>
      <c r="Y50" s="20">
        <f t="shared" si="14"/>
        <v>154.98589956521744</v>
      </c>
      <c r="Z50" s="12">
        <f t="shared" si="15"/>
        <v>154.98589956521744</v>
      </c>
      <c r="AA50" s="12">
        <f t="shared" si="16"/>
        <v>0</v>
      </c>
      <c r="AB50" s="8">
        <v>12.1</v>
      </c>
      <c r="AC50" s="20">
        <f t="shared" si="2"/>
        <v>34057.851239669428</v>
      </c>
      <c r="AD50" s="20">
        <f t="shared" si="17"/>
        <v>35834.782608695656</v>
      </c>
      <c r="AE50" s="20">
        <f t="shared" si="3"/>
        <v>23026.030578512393</v>
      </c>
      <c r="AF50" s="21">
        <f t="shared" si="4"/>
        <v>11031.820661157035</v>
      </c>
      <c r="AG50" s="23">
        <f t="shared" si="5"/>
        <v>11.5</v>
      </c>
      <c r="AH50" s="20">
        <f t="shared" si="6"/>
        <v>35834.782608695656</v>
      </c>
      <c r="AI50" s="20">
        <f t="shared" si="7"/>
        <v>24227.388695652171</v>
      </c>
      <c r="AJ50" s="20">
        <f t="shared" si="18"/>
        <v>11607.393913043485</v>
      </c>
      <c r="AK50" s="47">
        <f t="shared" si="8"/>
        <v>0.95041322314049592</v>
      </c>
    </row>
    <row r="51" spans="1:37" x14ac:dyDescent="0.25">
      <c r="A51" s="8" t="s">
        <v>21</v>
      </c>
      <c r="B51" s="8" t="s">
        <v>263</v>
      </c>
      <c r="C51" s="8" t="s">
        <v>76</v>
      </c>
      <c r="D51" s="8">
        <v>2</v>
      </c>
      <c r="E51" s="8">
        <v>3</v>
      </c>
      <c r="F51" s="8">
        <v>1</v>
      </c>
      <c r="G51" s="8">
        <f t="shared" si="9"/>
        <v>6</v>
      </c>
      <c r="K51" s="8">
        <f t="shared" si="10"/>
        <v>0</v>
      </c>
      <c r="L51" s="8">
        <v>0</v>
      </c>
      <c r="M51" s="8">
        <v>0</v>
      </c>
      <c r="N51" s="8">
        <v>0</v>
      </c>
      <c r="O51" s="8">
        <f t="shared" si="11"/>
        <v>0</v>
      </c>
      <c r="P51" s="31">
        <v>1.5</v>
      </c>
      <c r="Q51" s="31">
        <v>1.25</v>
      </c>
      <c r="R51" s="66">
        <f>IF(A51='Свод по районам'!$A$9,'Свод по районам'!$G$9,0)</f>
        <v>1.4603359394739179</v>
      </c>
      <c r="S51" s="76">
        <f>ROUND(((D51*$K$7+E51*$K$8+F51*$K$9)+(H51*$AA$7+I51*$AA$8+J51*$AA$9)+(L51*'по детям'!$K$10*0.2+M51*'по детям'!$K$11*0.2+N51*'по детям'!$K$12*0.2))*P51*Q51/1.302/12,1)</f>
        <v>363.9</v>
      </c>
      <c r="T51" s="12">
        <f t="shared" si="12"/>
        <v>250.55409836065573</v>
      </c>
      <c r="U51" s="11">
        <v>249.84020000000001</v>
      </c>
      <c r="V51" s="12">
        <f t="shared" si="13"/>
        <v>114.05979999999997</v>
      </c>
      <c r="W51" s="12">
        <f t="shared" si="0"/>
        <v>114.05979999999997</v>
      </c>
      <c r="X51" s="12">
        <f t="shared" si="1"/>
        <v>0</v>
      </c>
      <c r="Y51" s="20">
        <f t="shared" si="14"/>
        <v>0.71389836065571899</v>
      </c>
      <c r="Z51" s="12">
        <f t="shared" si="15"/>
        <v>0.71389836065571899</v>
      </c>
      <c r="AA51" s="12">
        <f t="shared" si="16"/>
        <v>0</v>
      </c>
      <c r="AB51" s="8">
        <v>7</v>
      </c>
      <c r="AC51" s="20">
        <f t="shared" si="2"/>
        <v>51985.714285714283</v>
      </c>
      <c r="AD51" s="20">
        <f t="shared" si="17"/>
        <v>35793.442622950817</v>
      </c>
      <c r="AE51" s="20">
        <f t="shared" si="3"/>
        <v>35691.457142857143</v>
      </c>
      <c r="AF51" s="21">
        <f t="shared" si="4"/>
        <v>16294.257142857139</v>
      </c>
      <c r="AG51" s="23">
        <f t="shared" si="5"/>
        <v>10.166666666666666</v>
      </c>
      <c r="AH51" s="20">
        <f t="shared" si="6"/>
        <v>35793.442622950817</v>
      </c>
      <c r="AI51" s="20">
        <f t="shared" si="7"/>
        <v>24574.445901639348</v>
      </c>
      <c r="AJ51" s="20">
        <f t="shared" si="18"/>
        <v>11218.996721311469</v>
      </c>
      <c r="AK51" s="47">
        <f t="shared" si="8"/>
        <v>1.4523809523809523</v>
      </c>
    </row>
    <row r="52" spans="1:37" x14ac:dyDescent="0.25">
      <c r="A52" s="8" t="s">
        <v>21</v>
      </c>
      <c r="B52" s="8" t="s">
        <v>263</v>
      </c>
      <c r="C52" s="8" t="s">
        <v>77</v>
      </c>
      <c r="D52" s="8">
        <v>3</v>
      </c>
      <c r="E52" s="8">
        <v>3</v>
      </c>
      <c r="F52" s="8">
        <v>1</v>
      </c>
      <c r="G52" s="8">
        <f t="shared" si="9"/>
        <v>7</v>
      </c>
      <c r="K52" s="8">
        <f t="shared" si="10"/>
        <v>0</v>
      </c>
      <c r="L52" s="8">
        <v>0</v>
      </c>
      <c r="M52" s="8">
        <v>0</v>
      </c>
      <c r="N52" s="8">
        <v>0</v>
      </c>
      <c r="O52" s="8">
        <f t="shared" si="11"/>
        <v>0</v>
      </c>
      <c r="P52" s="31">
        <v>1.5</v>
      </c>
      <c r="Q52" s="31">
        <v>1.25</v>
      </c>
      <c r="R52" s="66">
        <f>IF(A52='Свод по районам'!$A$9,'Свод по районам'!$G$9,0)</f>
        <v>1.4603359394739179</v>
      </c>
      <c r="S52" s="76">
        <f>ROUND(((D52*$K$7+E52*$K$8+F52*$K$9)+(H52*$AA$7+I52*$AA$8+J52*$AA$9)+(L52*'по детям'!$K$10*0.2+M52*'по детям'!$K$11*0.2+N52*'по детям'!$K$12*0.2))*P52*Q52/1.302/12,1)</f>
        <v>412.1</v>
      </c>
      <c r="T52" s="12">
        <f t="shared" si="12"/>
        <v>322.5130434782609</v>
      </c>
      <c r="U52" s="11">
        <v>281.40854999999999</v>
      </c>
      <c r="V52" s="12">
        <f t="shared" si="13"/>
        <v>130.69145000000003</v>
      </c>
      <c r="W52" s="12">
        <f t="shared" si="0"/>
        <v>130.69145000000003</v>
      </c>
      <c r="X52" s="12">
        <f t="shared" si="1"/>
        <v>0</v>
      </c>
      <c r="Y52" s="20">
        <f t="shared" si="14"/>
        <v>41.104493478260906</v>
      </c>
      <c r="Z52" s="12">
        <f t="shared" si="15"/>
        <v>41.104493478260906</v>
      </c>
      <c r="AA52" s="12">
        <f t="shared" si="16"/>
        <v>0</v>
      </c>
      <c r="AB52" s="8">
        <v>9</v>
      </c>
      <c r="AC52" s="20">
        <f t="shared" si="2"/>
        <v>45788.888888888891</v>
      </c>
      <c r="AD52" s="20">
        <f t="shared" si="17"/>
        <v>35834.782608695656</v>
      </c>
      <c r="AE52" s="20">
        <f t="shared" si="3"/>
        <v>31267.616666666665</v>
      </c>
      <c r="AF52" s="21">
        <f t="shared" si="4"/>
        <v>14521.272222222226</v>
      </c>
      <c r="AG52" s="23">
        <f t="shared" si="5"/>
        <v>11.5</v>
      </c>
      <c r="AH52" s="20">
        <f t="shared" si="6"/>
        <v>35834.782608695656</v>
      </c>
      <c r="AI52" s="20">
        <f t="shared" si="7"/>
        <v>24470.308695652173</v>
      </c>
      <c r="AJ52" s="20">
        <f t="shared" si="18"/>
        <v>11364.473913043483</v>
      </c>
      <c r="AK52" s="47">
        <f t="shared" si="8"/>
        <v>1.2777777777777777</v>
      </c>
    </row>
    <row r="53" spans="1:37" x14ac:dyDescent="0.25">
      <c r="A53" s="8" t="s">
        <v>21</v>
      </c>
      <c r="C53" s="8" t="s">
        <v>78</v>
      </c>
      <c r="D53" s="8">
        <v>4</v>
      </c>
      <c r="E53" s="8">
        <v>5</v>
      </c>
      <c r="F53" s="8">
        <v>2</v>
      </c>
      <c r="G53" s="8">
        <f t="shared" si="9"/>
        <v>11</v>
      </c>
      <c r="K53" s="8">
        <f t="shared" si="10"/>
        <v>0</v>
      </c>
      <c r="L53" s="8">
        <v>1</v>
      </c>
      <c r="M53" s="8">
        <v>0</v>
      </c>
      <c r="N53" s="8">
        <v>0</v>
      </c>
      <c r="O53" s="8">
        <f t="shared" si="11"/>
        <v>1</v>
      </c>
      <c r="P53" s="31">
        <v>1.5</v>
      </c>
      <c r="Q53" s="31">
        <v>1.25</v>
      </c>
      <c r="R53" s="66">
        <f>IF(A53='Свод по районам'!$A$9,'Свод по районам'!$G$9,0)</f>
        <v>1.4603359394739179</v>
      </c>
      <c r="S53" s="76">
        <f>ROUND(((D53*$K$7+E53*$K$8+F53*$K$9)+(H53*$AA$7+I53*$AA$8+J53*$AA$9)+(L53*'по детям'!$K$10*0.2+M53*'по детям'!$K$11*0.2+N53*'по детям'!$K$12*0.2))*P53*Q53/1.302/12,1)</f>
        <v>662.9</v>
      </c>
      <c r="T53" s="12">
        <f t="shared" si="12"/>
        <v>537.48648648648646</v>
      </c>
      <c r="U53" s="11">
        <v>334.91208</v>
      </c>
      <c r="V53" s="12">
        <f t="shared" si="13"/>
        <v>327.98791999999997</v>
      </c>
      <c r="W53" s="12">
        <f t="shared" si="0"/>
        <v>327.98791999999997</v>
      </c>
      <c r="X53" s="12">
        <f t="shared" si="1"/>
        <v>0</v>
      </c>
      <c r="Y53" s="20">
        <f t="shared" si="14"/>
        <v>202.57440648648645</v>
      </c>
      <c r="Z53" s="12">
        <f t="shared" si="15"/>
        <v>202.57440648648645</v>
      </c>
      <c r="AA53" s="12">
        <f t="shared" si="16"/>
        <v>0</v>
      </c>
      <c r="AB53" s="8">
        <v>15</v>
      </c>
      <c r="AC53" s="20">
        <f t="shared" si="2"/>
        <v>44193.333333333336</v>
      </c>
      <c r="AD53" s="20">
        <f t="shared" si="17"/>
        <v>35832.432432432433</v>
      </c>
      <c r="AE53" s="20">
        <f t="shared" si="3"/>
        <v>22327.472000000002</v>
      </c>
      <c r="AF53" s="21">
        <f t="shared" si="4"/>
        <v>21865.861333333334</v>
      </c>
      <c r="AG53" s="23">
        <f t="shared" si="5"/>
        <v>18.5</v>
      </c>
      <c r="AH53" s="20">
        <f t="shared" si="6"/>
        <v>35832.432432432433</v>
      </c>
      <c r="AI53" s="20">
        <f t="shared" si="7"/>
        <v>18103.355675675677</v>
      </c>
      <c r="AJ53" s="20">
        <f t="shared" si="18"/>
        <v>17729.076756756756</v>
      </c>
      <c r="AK53" s="47">
        <f t="shared" si="8"/>
        <v>1.2333333333333334</v>
      </c>
    </row>
    <row r="54" spans="1:37" x14ac:dyDescent="0.25">
      <c r="A54" s="8" t="s">
        <v>21</v>
      </c>
      <c r="B54" s="8" t="s">
        <v>263</v>
      </c>
      <c r="C54" s="8" t="s">
        <v>79</v>
      </c>
      <c r="D54" s="8">
        <v>2</v>
      </c>
      <c r="E54" s="8">
        <v>4</v>
      </c>
      <c r="F54" s="8">
        <v>1</v>
      </c>
      <c r="G54" s="8">
        <f t="shared" si="9"/>
        <v>7</v>
      </c>
      <c r="K54" s="8">
        <f t="shared" si="10"/>
        <v>0</v>
      </c>
      <c r="L54" s="8">
        <v>0</v>
      </c>
      <c r="M54" s="8">
        <v>1</v>
      </c>
      <c r="N54" s="8">
        <v>0</v>
      </c>
      <c r="O54" s="8">
        <f t="shared" si="11"/>
        <v>1</v>
      </c>
      <c r="P54" s="31">
        <v>1.5</v>
      </c>
      <c r="Q54" s="31">
        <v>1.25</v>
      </c>
      <c r="R54" s="66">
        <f>IF(A54='Свод по районам'!$A$9,'Свод по районам'!$G$9,0)</f>
        <v>1.4603359394739179</v>
      </c>
      <c r="S54" s="76">
        <f>ROUND(((D54*$K$7+E54*$K$8+F54*$K$9)+(H54*$AA$7+I54*$AA$8+J54*$AA$9)+(L54*'по детям'!$K$10*0.2+M54*'по детям'!$K$11*0.2+N54*'по детям'!$K$12*0.2))*P54*Q54/1.302/12,1)</f>
        <v>430</v>
      </c>
      <c r="T54" s="12">
        <f t="shared" si="12"/>
        <v>358.33333333333337</v>
      </c>
      <c r="U54" s="11">
        <v>289.22154</v>
      </c>
      <c r="V54" s="12">
        <f t="shared" si="13"/>
        <v>140.77846</v>
      </c>
      <c r="W54" s="12">
        <f t="shared" si="0"/>
        <v>140.77846</v>
      </c>
      <c r="X54" s="12">
        <f t="shared" si="1"/>
        <v>0</v>
      </c>
      <c r="Y54" s="20">
        <f t="shared" si="14"/>
        <v>69.111793333333367</v>
      </c>
      <c r="Z54" s="12">
        <f t="shared" si="15"/>
        <v>69.111793333333367</v>
      </c>
      <c r="AA54" s="12">
        <f t="shared" si="16"/>
        <v>0</v>
      </c>
      <c r="AB54" s="8">
        <v>10</v>
      </c>
      <c r="AC54" s="20">
        <f t="shared" si="2"/>
        <v>43000</v>
      </c>
      <c r="AD54" s="20">
        <f t="shared" si="17"/>
        <v>35833.333333333336</v>
      </c>
      <c r="AE54" s="20">
        <f t="shared" si="3"/>
        <v>28922.153999999999</v>
      </c>
      <c r="AF54" s="21">
        <f t="shared" si="4"/>
        <v>14077.846000000001</v>
      </c>
      <c r="AG54" s="23">
        <f t="shared" si="5"/>
        <v>12</v>
      </c>
      <c r="AH54" s="20">
        <f t="shared" si="6"/>
        <v>35833.333333333336</v>
      </c>
      <c r="AI54" s="20">
        <f t="shared" si="7"/>
        <v>24101.794999999998</v>
      </c>
      <c r="AJ54" s="20">
        <f t="shared" si="18"/>
        <v>11731.538333333338</v>
      </c>
      <c r="AK54" s="47">
        <f t="shared" si="8"/>
        <v>1.2</v>
      </c>
    </row>
    <row r="55" spans="1:37" x14ac:dyDescent="0.25">
      <c r="A55" s="8" t="s">
        <v>21</v>
      </c>
      <c r="C55" s="8" t="s">
        <v>80</v>
      </c>
      <c r="D55" s="8">
        <v>2</v>
      </c>
      <c r="E55" s="8">
        <v>0</v>
      </c>
      <c r="G55" s="8">
        <f t="shared" si="9"/>
        <v>2</v>
      </c>
      <c r="H55" s="8">
        <v>1</v>
      </c>
      <c r="K55" s="8">
        <f t="shared" si="10"/>
        <v>1</v>
      </c>
      <c r="L55" s="8">
        <v>0</v>
      </c>
      <c r="M55" s="8">
        <v>0</v>
      </c>
      <c r="N55" s="8">
        <v>0</v>
      </c>
      <c r="O55" s="8">
        <f t="shared" si="11"/>
        <v>0</v>
      </c>
      <c r="P55" s="31">
        <v>1.5</v>
      </c>
      <c r="Q55" s="31">
        <v>1.25</v>
      </c>
      <c r="R55" s="66">
        <f>IF(A55='Свод по районам'!$A$9,'Свод по районам'!$G$9,0)</f>
        <v>1.4603359394739179</v>
      </c>
      <c r="S55" s="76">
        <f>ROUND(((D55*$K$7+E55*$K$8+F55*$K$9)+(H55*$AA$7+I55*$AA$8+J55*$AA$9)+(L55*'по детям'!$K$10*0.2+M55*'по детям'!$K$11*0.2+N55*'по детям'!$K$12*0.2))*P55*Q55/1.302/12,1)</f>
        <v>108.1</v>
      </c>
      <c r="T55" s="12">
        <f t="shared" si="12"/>
        <v>97.29</v>
      </c>
      <c r="U55" s="11">
        <v>41.934100000000001</v>
      </c>
      <c r="V55" s="12">
        <f t="shared" si="13"/>
        <v>66.165899999999993</v>
      </c>
      <c r="W55" s="12">
        <f t="shared" si="0"/>
        <v>66.165899999999993</v>
      </c>
      <c r="X55" s="12">
        <f t="shared" si="1"/>
        <v>0</v>
      </c>
      <c r="Y55" s="20">
        <f t="shared" si="14"/>
        <v>55.355900000000005</v>
      </c>
      <c r="Z55" s="12">
        <f t="shared" si="15"/>
        <v>55.355900000000005</v>
      </c>
      <c r="AA55" s="12">
        <f t="shared" si="16"/>
        <v>0</v>
      </c>
      <c r="AB55" s="8">
        <v>2.8</v>
      </c>
      <c r="AC55" s="20">
        <f t="shared" si="2"/>
        <v>38607.142857142855</v>
      </c>
      <c r="AD55" s="20">
        <f t="shared" si="17"/>
        <v>34746.428571428572</v>
      </c>
      <c r="AE55" s="20">
        <f t="shared" si="3"/>
        <v>14976.464285714288</v>
      </c>
      <c r="AF55" s="21">
        <f t="shared" si="4"/>
        <v>23630.678571428565</v>
      </c>
      <c r="AG55" s="23">
        <f t="shared" si="5"/>
        <v>3.1111111111111107</v>
      </c>
      <c r="AH55" s="20">
        <f t="shared" si="6"/>
        <v>34746.428571428572</v>
      </c>
      <c r="AI55" s="20">
        <f t="shared" si="7"/>
        <v>13478.81785714286</v>
      </c>
      <c r="AJ55" s="20">
        <f t="shared" si="18"/>
        <v>21267.610714285714</v>
      </c>
      <c r="AK55" s="47">
        <f t="shared" si="8"/>
        <v>1.1111111111111109</v>
      </c>
    </row>
    <row r="56" spans="1:37" x14ac:dyDescent="0.25">
      <c r="A56" s="8" t="s">
        <v>21</v>
      </c>
      <c r="B56" s="8" t="s">
        <v>263</v>
      </c>
      <c r="C56" s="8" t="s">
        <v>81</v>
      </c>
      <c r="D56" s="8">
        <v>2</v>
      </c>
      <c r="E56" s="8">
        <v>4</v>
      </c>
      <c r="F56" s="8">
        <v>1</v>
      </c>
      <c r="G56" s="8">
        <f t="shared" si="9"/>
        <v>7</v>
      </c>
      <c r="I56" s="8">
        <v>1</v>
      </c>
      <c r="K56" s="8">
        <f t="shared" si="10"/>
        <v>1</v>
      </c>
      <c r="L56" s="8">
        <v>2</v>
      </c>
      <c r="M56" s="8">
        <v>2</v>
      </c>
      <c r="N56" s="8">
        <v>0</v>
      </c>
      <c r="O56" s="8">
        <f t="shared" si="11"/>
        <v>4</v>
      </c>
      <c r="P56" s="31">
        <v>1.5</v>
      </c>
      <c r="Q56" s="31">
        <v>1.25</v>
      </c>
      <c r="R56" s="66">
        <f>IF(A56='Свод по районам'!$A$9,'Свод по районам'!$G$9,0)</f>
        <v>1.4603359394739179</v>
      </c>
      <c r="S56" s="76">
        <f>ROUND(((D56*$K$7+E56*$K$8+F56*$K$9)+(H56*$AA$7+I56*$AA$8+J56*$AA$9)+(L56*'по детям'!$K$10*0.2+M56*'по детям'!$K$11*0.2+N56*'по детям'!$K$12*0.2))*P56*Q56/1.302/12,1)</f>
        <v>447.4</v>
      </c>
      <c r="T56" s="12">
        <f t="shared" si="12"/>
        <v>315.74220264317182</v>
      </c>
      <c r="U56" s="11">
        <v>285.16060000000004</v>
      </c>
      <c r="V56" s="12">
        <f t="shared" si="13"/>
        <v>162.23939999999993</v>
      </c>
      <c r="W56" s="12">
        <f t="shared" si="0"/>
        <v>162.23939999999993</v>
      </c>
      <c r="X56" s="12">
        <f t="shared" si="1"/>
        <v>0</v>
      </c>
      <c r="Y56" s="20">
        <f t="shared" si="14"/>
        <v>30.581602643171777</v>
      </c>
      <c r="Z56" s="12">
        <f t="shared" si="15"/>
        <v>30.581602643171777</v>
      </c>
      <c r="AA56" s="12">
        <f t="shared" si="16"/>
        <v>0</v>
      </c>
      <c r="AB56" s="8">
        <v>8.9</v>
      </c>
      <c r="AC56" s="20">
        <f t="shared" si="2"/>
        <v>50269.66292134831</v>
      </c>
      <c r="AD56" s="20">
        <f t="shared" si="17"/>
        <v>35476.651982378855</v>
      </c>
      <c r="AE56" s="20">
        <f t="shared" si="3"/>
        <v>32040.516853932586</v>
      </c>
      <c r="AF56" s="21">
        <f t="shared" si="4"/>
        <v>18229.146067415724</v>
      </c>
      <c r="AG56" s="23">
        <f t="shared" si="5"/>
        <v>12.611111111111111</v>
      </c>
      <c r="AH56" s="20">
        <f t="shared" si="6"/>
        <v>35476.651982378855</v>
      </c>
      <c r="AI56" s="20">
        <f t="shared" si="7"/>
        <v>22611.853744493394</v>
      </c>
      <c r="AJ56" s="20">
        <f t="shared" si="18"/>
        <v>12864.798237885461</v>
      </c>
      <c r="AK56" s="47">
        <f t="shared" si="8"/>
        <v>1.4169787765293382</v>
      </c>
    </row>
    <row r="57" spans="1:37" x14ac:dyDescent="0.25">
      <c r="A57" s="8" t="s">
        <v>21</v>
      </c>
      <c r="C57" s="8" t="s">
        <v>82</v>
      </c>
      <c r="D57" s="8">
        <v>4</v>
      </c>
      <c r="E57" s="8">
        <v>5</v>
      </c>
      <c r="F57" s="8">
        <v>1</v>
      </c>
      <c r="G57" s="8">
        <f t="shared" si="9"/>
        <v>10</v>
      </c>
      <c r="K57" s="8">
        <f t="shared" si="10"/>
        <v>0</v>
      </c>
      <c r="L57" s="8">
        <v>1</v>
      </c>
      <c r="M57" s="8">
        <v>0</v>
      </c>
      <c r="N57" s="8">
        <v>0</v>
      </c>
      <c r="O57" s="8">
        <f t="shared" si="11"/>
        <v>1</v>
      </c>
      <c r="P57" s="31">
        <v>1.5</v>
      </c>
      <c r="Q57" s="31">
        <v>1.25</v>
      </c>
      <c r="R57" s="66">
        <f>IF(A57='Свод по районам'!$A$9,'Свод по районам'!$G$9,0)</f>
        <v>1.4603359394739179</v>
      </c>
      <c r="S57" s="76">
        <f>ROUND(((D57*$K$7+E57*$K$8+F57*$K$9)+(H57*$AA$7+I57*$AA$8+J57*$AA$9)+(L57*'по детям'!$K$10*0.2+M57*'по детям'!$K$11*0.2+N57*'по детям'!$K$12*0.2))*P57*Q57/1.302/12,1)</f>
        <v>591.5</v>
      </c>
      <c r="T57" s="12">
        <f t="shared" si="12"/>
        <v>487.5393939393939</v>
      </c>
      <c r="U57" s="11">
        <v>335.28857000000005</v>
      </c>
      <c r="V57" s="12">
        <f t="shared" si="13"/>
        <v>256.21142999999995</v>
      </c>
      <c r="W57" s="12">
        <f t="shared" si="0"/>
        <v>256.21142999999995</v>
      </c>
      <c r="X57" s="12">
        <f t="shared" si="1"/>
        <v>0</v>
      </c>
      <c r="Y57" s="20">
        <f t="shared" si="14"/>
        <v>152.25082393939385</v>
      </c>
      <c r="Z57" s="12">
        <f t="shared" si="15"/>
        <v>152.25082393939385</v>
      </c>
      <c r="AA57" s="12">
        <f t="shared" si="16"/>
        <v>0</v>
      </c>
      <c r="AB57" s="8">
        <v>13.6</v>
      </c>
      <c r="AC57" s="20">
        <f t="shared" si="2"/>
        <v>43492.647058823532</v>
      </c>
      <c r="AD57" s="20">
        <f t="shared" si="17"/>
        <v>35848.484848484841</v>
      </c>
      <c r="AE57" s="20">
        <f t="shared" si="3"/>
        <v>24653.571323529417</v>
      </c>
      <c r="AF57" s="21">
        <f t="shared" si="4"/>
        <v>18839.075735294115</v>
      </c>
      <c r="AG57" s="23">
        <f t="shared" si="5"/>
        <v>16.5</v>
      </c>
      <c r="AH57" s="20">
        <f t="shared" si="6"/>
        <v>35848.484848484848</v>
      </c>
      <c r="AI57" s="20">
        <f t="shared" si="7"/>
        <v>20320.519393939398</v>
      </c>
      <c r="AJ57" s="20">
        <f t="shared" si="18"/>
        <v>15527.96545454545</v>
      </c>
      <c r="AK57" s="47">
        <f t="shared" si="8"/>
        <v>1.2132352941176472</v>
      </c>
    </row>
    <row r="58" spans="1:37" x14ac:dyDescent="0.25">
      <c r="A58" s="8" t="s">
        <v>21</v>
      </c>
      <c r="C58" s="8" t="s">
        <v>83</v>
      </c>
      <c r="D58" s="8">
        <v>4</v>
      </c>
      <c r="E58" s="8">
        <v>5</v>
      </c>
      <c r="F58" s="8">
        <v>2</v>
      </c>
      <c r="G58" s="8">
        <f t="shared" si="9"/>
        <v>11</v>
      </c>
      <c r="K58" s="8">
        <f t="shared" si="10"/>
        <v>0</v>
      </c>
      <c r="L58" s="8">
        <v>3</v>
      </c>
      <c r="M58" s="8">
        <v>0</v>
      </c>
      <c r="N58" s="8">
        <v>0</v>
      </c>
      <c r="O58" s="8">
        <f t="shared" si="11"/>
        <v>3</v>
      </c>
      <c r="P58" s="31">
        <v>1.5</v>
      </c>
      <c r="Q58" s="31">
        <v>1.25</v>
      </c>
      <c r="R58" s="66">
        <f>IF(A58='Свод по районам'!$A$9,'Свод по районам'!$G$9,0)</f>
        <v>1.4603359394739179</v>
      </c>
      <c r="S58" s="76">
        <f>ROUND(((D58*$K$7+E58*$K$8+F58*$K$9)+(H58*$AA$7+I58*$AA$8+J58*$AA$9)+(L58*'по детям'!$K$10*0.2+M58*'по детям'!$K$11*0.2+N58*'по детям'!$K$12*0.2))*P58*Q58/1.302/12,1)</f>
        <v>663.7</v>
      </c>
      <c r="T58" s="12">
        <f t="shared" si="12"/>
        <v>495.08432432432437</v>
      </c>
      <c r="U58" s="11">
        <v>316.73352999999997</v>
      </c>
      <c r="V58" s="12">
        <f t="shared" si="13"/>
        <v>346.96647000000007</v>
      </c>
      <c r="W58" s="12">
        <f t="shared" si="0"/>
        <v>346.96647000000007</v>
      </c>
      <c r="X58" s="12">
        <f t="shared" si="1"/>
        <v>0</v>
      </c>
      <c r="Y58" s="20">
        <f t="shared" si="14"/>
        <v>178.3507943243244</v>
      </c>
      <c r="Z58" s="12">
        <f t="shared" si="15"/>
        <v>178.3507943243244</v>
      </c>
      <c r="AA58" s="12">
        <f t="shared" si="16"/>
        <v>0</v>
      </c>
      <c r="AB58" s="8">
        <v>13.8</v>
      </c>
      <c r="AC58" s="20">
        <f t="shared" si="2"/>
        <v>48094.202898550728</v>
      </c>
      <c r="AD58" s="20">
        <f t="shared" si="17"/>
        <v>35875.67567567568</v>
      </c>
      <c r="AE58" s="20">
        <f t="shared" si="3"/>
        <v>22951.705072463763</v>
      </c>
      <c r="AF58" s="21">
        <f t="shared" si="4"/>
        <v>25142.497826086965</v>
      </c>
      <c r="AG58" s="23">
        <f t="shared" si="5"/>
        <v>18.5</v>
      </c>
      <c r="AH58" s="20">
        <f t="shared" si="6"/>
        <v>35875.67567567568</v>
      </c>
      <c r="AI58" s="20">
        <f t="shared" si="7"/>
        <v>17120.731351351347</v>
      </c>
      <c r="AJ58" s="20">
        <f t="shared" si="18"/>
        <v>18754.944324324333</v>
      </c>
      <c r="AK58" s="47">
        <f t="shared" si="8"/>
        <v>1.3405797101449275</v>
      </c>
    </row>
    <row r="59" spans="1:37" x14ac:dyDescent="0.25">
      <c r="A59" s="8" t="s">
        <v>21</v>
      </c>
      <c r="B59" s="8" t="s">
        <v>263</v>
      </c>
      <c r="C59" s="8" t="s">
        <v>84</v>
      </c>
      <c r="D59" s="8">
        <v>2</v>
      </c>
      <c r="E59" s="8">
        <v>2</v>
      </c>
      <c r="G59" s="8">
        <f t="shared" si="9"/>
        <v>4</v>
      </c>
      <c r="K59" s="8">
        <f t="shared" si="10"/>
        <v>0</v>
      </c>
      <c r="L59" s="8">
        <v>2</v>
      </c>
      <c r="M59" s="8">
        <v>1</v>
      </c>
      <c r="N59" s="8">
        <v>0</v>
      </c>
      <c r="O59" s="8">
        <f t="shared" si="11"/>
        <v>3</v>
      </c>
      <c r="P59" s="31">
        <v>1.5</v>
      </c>
      <c r="Q59" s="31">
        <v>1.25</v>
      </c>
      <c r="R59" s="66">
        <f>IF(A59='Свод по районам'!$A$9,'Свод по районам'!$G$9,0)</f>
        <v>1.4603359394739179</v>
      </c>
      <c r="S59" s="76">
        <f>ROUND(((D59*$K$7+E59*$K$8+F59*$K$9)+(H59*$AA$7+I59*$AA$8+J59*$AA$9)+(L59*'по детям'!$K$10*0.2+M59*'по детям'!$K$11*0.2+N59*'по детям'!$K$12*0.2))*P59*Q59/1.302/12,1)</f>
        <v>228.7</v>
      </c>
      <c r="T59" s="12">
        <f t="shared" si="12"/>
        <v>108.33157894736841</v>
      </c>
      <c r="U59" s="11">
        <v>158.67171999999999</v>
      </c>
      <c r="V59" s="12">
        <f t="shared" si="13"/>
        <v>70.028279999999995</v>
      </c>
      <c r="W59" s="12">
        <f t="shared" si="0"/>
        <v>70.028279999999995</v>
      </c>
      <c r="X59" s="12">
        <f t="shared" si="1"/>
        <v>0</v>
      </c>
      <c r="Y59" s="20">
        <f t="shared" si="14"/>
        <v>-50.34014105263158</v>
      </c>
      <c r="Z59" s="12">
        <f t="shared" si="15"/>
        <v>0</v>
      </c>
      <c r="AA59" s="12">
        <f t="shared" si="16"/>
        <v>-50.34014105263158</v>
      </c>
      <c r="AB59" s="8">
        <v>3</v>
      </c>
      <c r="AC59" s="20">
        <f t="shared" si="2"/>
        <v>76233.333333333328</v>
      </c>
      <c r="AD59" s="20">
        <f t="shared" si="17"/>
        <v>36110.526315789473</v>
      </c>
      <c r="AE59" s="20">
        <f t="shared" si="3"/>
        <v>52890.573333333326</v>
      </c>
      <c r="AF59" s="21">
        <f t="shared" si="4"/>
        <v>23342.760000000002</v>
      </c>
      <c r="AG59" s="23">
        <f t="shared" si="5"/>
        <v>6.333333333333333</v>
      </c>
      <c r="AH59" s="20">
        <f t="shared" si="6"/>
        <v>36110.526315789473</v>
      </c>
      <c r="AI59" s="20">
        <f t="shared" si="7"/>
        <v>25053.429473684213</v>
      </c>
      <c r="AJ59" s="20">
        <f t="shared" si="18"/>
        <v>11057.09684210526</v>
      </c>
      <c r="AK59" s="47">
        <f t="shared" si="8"/>
        <v>2.1111111111111112</v>
      </c>
    </row>
    <row r="60" spans="1:37" x14ac:dyDescent="0.25">
      <c r="A60" s="8" t="s">
        <v>21</v>
      </c>
      <c r="B60" s="8" t="s">
        <v>263</v>
      </c>
      <c r="C60" s="8" t="s">
        <v>85</v>
      </c>
      <c r="D60" s="8">
        <v>2</v>
      </c>
      <c r="E60" s="8">
        <v>3</v>
      </c>
      <c r="F60" s="8">
        <v>1</v>
      </c>
      <c r="G60" s="8">
        <f t="shared" si="9"/>
        <v>6</v>
      </c>
      <c r="K60" s="8">
        <f t="shared" si="10"/>
        <v>0</v>
      </c>
      <c r="L60" s="8">
        <v>0</v>
      </c>
      <c r="M60" s="8">
        <v>0</v>
      </c>
      <c r="N60" s="8">
        <v>0</v>
      </c>
      <c r="O60" s="8">
        <f t="shared" si="11"/>
        <v>0</v>
      </c>
      <c r="P60" s="31">
        <v>1.5</v>
      </c>
      <c r="Q60" s="31">
        <v>1.25</v>
      </c>
      <c r="R60" s="66">
        <f>IF(A60='Свод по районам'!$A$9,'Свод по районам'!$G$9,0)</f>
        <v>1.4603359394739179</v>
      </c>
      <c r="S60" s="76">
        <f>ROUND(((D60*$K$7+E60*$K$8+F60*$K$9)+(H60*$AA$7+I60*$AA$8+J60*$AA$9)+(L60*'по детям'!$K$10*0.2+M60*'по детям'!$K$11*0.2+N60*'по детям'!$K$12*0.2))*P60*Q60/1.302/12,1)</f>
        <v>363.9</v>
      </c>
      <c r="T60" s="12">
        <f t="shared" si="12"/>
        <v>304.24426229508197</v>
      </c>
      <c r="U60" s="11">
        <v>235.9562</v>
      </c>
      <c r="V60" s="12">
        <f t="shared" si="13"/>
        <v>127.94379999999998</v>
      </c>
      <c r="W60" s="12">
        <f t="shared" si="0"/>
        <v>127.94379999999998</v>
      </c>
      <c r="X60" s="12">
        <f t="shared" si="1"/>
        <v>0</v>
      </c>
      <c r="Y60" s="20">
        <f t="shared" si="14"/>
        <v>68.288062295081971</v>
      </c>
      <c r="Z60" s="12">
        <f t="shared" si="15"/>
        <v>68.288062295081971</v>
      </c>
      <c r="AA60" s="12">
        <f t="shared" si="16"/>
        <v>0</v>
      </c>
      <c r="AB60" s="8">
        <v>8.5</v>
      </c>
      <c r="AC60" s="20">
        <f t="shared" si="2"/>
        <v>42811.764705882357</v>
      </c>
      <c r="AD60" s="20">
        <f t="shared" si="17"/>
        <v>35793.442622950817</v>
      </c>
      <c r="AE60" s="20">
        <f t="shared" si="3"/>
        <v>27759.552941176469</v>
      </c>
      <c r="AF60" s="21">
        <f t="shared" si="4"/>
        <v>15052.211764705888</v>
      </c>
      <c r="AG60" s="23">
        <f t="shared" si="5"/>
        <v>10.166666666666666</v>
      </c>
      <c r="AH60" s="20">
        <f t="shared" si="6"/>
        <v>35793.442622950817</v>
      </c>
      <c r="AI60" s="20">
        <f t="shared" si="7"/>
        <v>23208.806557377047</v>
      </c>
      <c r="AJ60" s="20">
        <f t="shared" si="18"/>
        <v>12584.63606557377</v>
      </c>
      <c r="AK60" s="47">
        <f t="shared" si="8"/>
        <v>1.196078431372549</v>
      </c>
    </row>
    <row r="61" spans="1:37" x14ac:dyDescent="0.25">
      <c r="A61" s="8" t="s">
        <v>22</v>
      </c>
      <c r="B61" s="8" t="s">
        <v>263</v>
      </c>
      <c r="C61" s="8" t="s">
        <v>86</v>
      </c>
      <c r="D61" s="8">
        <v>2</v>
      </c>
      <c r="E61" s="8">
        <v>3</v>
      </c>
      <c r="F61" s="8">
        <v>0</v>
      </c>
      <c r="G61" s="8">
        <f t="shared" si="9"/>
        <v>5</v>
      </c>
      <c r="K61" s="8">
        <f t="shared" si="10"/>
        <v>0</v>
      </c>
      <c r="L61" s="8">
        <v>2</v>
      </c>
      <c r="M61" s="8">
        <v>0</v>
      </c>
      <c r="N61" s="8">
        <v>0</v>
      </c>
      <c r="O61" s="8">
        <f t="shared" si="11"/>
        <v>2</v>
      </c>
      <c r="P61" s="31">
        <v>1.5</v>
      </c>
      <c r="Q61" s="31">
        <v>1.25</v>
      </c>
      <c r="R61" s="66">
        <f>IF(A61='Свод по районам'!$A$10,'Свод по районам'!$G$10,0)</f>
        <v>1.7383167575214782</v>
      </c>
      <c r="S61" s="76">
        <f>ROUND(((D61*$K$7+E61*$K$8+F61*$K$9)+(H61*$AA$7+I61*$AA$8+J61*$AA$9)+(L61*'по детям'!$K$10*0.2+M61*'по детям'!$K$11*0.2+N61*'по детям'!$K$12*0.2))*P61*Q61/1.302/12,1)</f>
        <v>293.39999999999998</v>
      </c>
      <c r="T61" s="12">
        <f t="shared" si="12"/>
        <v>186.81795918367348</v>
      </c>
      <c r="U61" s="11">
        <v>229.40508</v>
      </c>
      <c r="V61" s="12">
        <f t="shared" si="13"/>
        <v>63.994919999999979</v>
      </c>
      <c r="W61" s="12">
        <f t="shared" si="0"/>
        <v>63.994919999999979</v>
      </c>
      <c r="X61" s="12">
        <f t="shared" si="1"/>
        <v>0</v>
      </c>
      <c r="Y61" s="20">
        <f t="shared" si="14"/>
        <v>-42.587120816326518</v>
      </c>
      <c r="Z61" s="12">
        <f t="shared" si="15"/>
        <v>0</v>
      </c>
      <c r="AA61" s="12">
        <f t="shared" si="16"/>
        <v>-42.587120816326518</v>
      </c>
      <c r="AB61" s="8">
        <v>5.2</v>
      </c>
      <c r="AC61" s="20">
        <f t="shared" si="2"/>
        <v>56423.076923076922</v>
      </c>
      <c r="AD61" s="20">
        <f t="shared" si="17"/>
        <v>35926.530612244896</v>
      </c>
      <c r="AE61" s="20">
        <f t="shared" si="3"/>
        <v>44116.36153846154</v>
      </c>
      <c r="AF61" s="21">
        <f t="shared" si="4"/>
        <v>12306.715384615381</v>
      </c>
      <c r="AG61" s="23">
        <f t="shared" si="5"/>
        <v>8.1666666666666661</v>
      </c>
      <c r="AH61" s="20">
        <f t="shared" si="6"/>
        <v>35926.530612244896</v>
      </c>
      <c r="AI61" s="20">
        <f t="shared" si="7"/>
        <v>28090.417959183676</v>
      </c>
      <c r="AJ61" s="20">
        <f t="shared" si="18"/>
        <v>7836.11265306122</v>
      </c>
      <c r="AK61" s="47">
        <f t="shared" si="8"/>
        <v>1.5705128205128203</v>
      </c>
    </row>
    <row r="62" spans="1:37" x14ac:dyDescent="0.25">
      <c r="A62" s="8" t="s">
        <v>22</v>
      </c>
      <c r="C62" s="8" t="s">
        <v>87</v>
      </c>
      <c r="D62" s="8">
        <v>4</v>
      </c>
      <c r="E62" s="8">
        <v>5</v>
      </c>
      <c r="F62" s="8">
        <v>2</v>
      </c>
      <c r="G62" s="8">
        <f t="shared" si="9"/>
        <v>11</v>
      </c>
      <c r="K62" s="8">
        <f t="shared" si="10"/>
        <v>0</v>
      </c>
      <c r="L62" s="8">
        <v>0</v>
      </c>
      <c r="M62" s="8">
        <v>0</v>
      </c>
      <c r="N62" s="8">
        <v>0</v>
      </c>
      <c r="O62" s="8">
        <f t="shared" si="11"/>
        <v>0</v>
      </c>
      <c r="P62" s="31">
        <v>1.5</v>
      </c>
      <c r="Q62" s="31">
        <v>1.25</v>
      </c>
      <c r="R62" s="66">
        <f>IF(A62='Свод по районам'!$A$10,'Свод по районам'!$G$10,0)</f>
        <v>1.7383167575214782</v>
      </c>
      <c r="S62" s="76">
        <f>ROUND(((D62*$K$7+E62*$K$8+F62*$K$9)+(H62*$AA$7+I62*$AA$8+J62*$AA$9)+(L62*'по детям'!$K$10*0.2+M62*'по детям'!$K$11*0.2+N62*'по детям'!$K$12*0.2))*P62*Q62/1.302/12,1)</f>
        <v>662.4</v>
      </c>
      <c r="T62" s="12">
        <f t="shared" si="12"/>
        <v>501.27567567567564</v>
      </c>
      <c r="U62" s="11">
        <v>366.17977999999999</v>
      </c>
      <c r="V62" s="12">
        <f t="shared" si="13"/>
        <v>296.22021999999998</v>
      </c>
      <c r="W62" s="12">
        <f t="shared" si="0"/>
        <v>296.22021999999998</v>
      </c>
      <c r="X62" s="12">
        <f t="shared" si="1"/>
        <v>0</v>
      </c>
      <c r="Y62" s="20">
        <f t="shared" si="14"/>
        <v>135.09589567567565</v>
      </c>
      <c r="Z62" s="12">
        <f t="shared" si="15"/>
        <v>135.09589567567565</v>
      </c>
      <c r="AA62" s="12">
        <f t="shared" si="16"/>
        <v>0</v>
      </c>
      <c r="AB62" s="8">
        <v>14</v>
      </c>
      <c r="AC62" s="20">
        <f t="shared" si="2"/>
        <v>47314.28571428571</v>
      </c>
      <c r="AD62" s="20">
        <f t="shared" si="17"/>
        <v>35805.4054054054</v>
      </c>
      <c r="AE62" s="20">
        <f t="shared" si="3"/>
        <v>26155.698571428569</v>
      </c>
      <c r="AF62" s="21">
        <f t="shared" si="4"/>
        <v>21158.587142857141</v>
      </c>
      <c r="AG62" s="23">
        <f t="shared" si="5"/>
        <v>18.5</v>
      </c>
      <c r="AH62" s="20">
        <f t="shared" si="6"/>
        <v>35805.4054054054</v>
      </c>
      <c r="AI62" s="20">
        <f t="shared" si="7"/>
        <v>19793.501621621621</v>
      </c>
      <c r="AJ62" s="20">
        <f t="shared" si="18"/>
        <v>16011.903783783779</v>
      </c>
      <c r="AK62" s="47">
        <f t="shared" si="8"/>
        <v>1.3214285714285714</v>
      </c>
    </row>
    <row r="63" spans="1:37" x14ac:dyDescent="0.25">
      <c r="A63" s="8" t="s">
        <v>22</v>
      </c>
      <c r="B63" s="8" t="s">
        <v>263</v>
      </c>
      <c r="C63" s="8" t="s">
        <v>88</v>
      </c>
      <c r="D63" s="8">
        <v>2</v>
      </c>
      <c r="E63" s="8">
        <v>3</v>
      </c>
      <c r="F63" s="8">
        <v>1</v>
      </c>
      <c r="G63" s="8">
        <f t="shared" si="9"/>
        <v>6</v>
      </c>
      <c r="K63" s="8">
        <f t="shared" si="10"/>
        <v>0</v>
      </c>
      <c r="L63" s="8">
        <v>0</v>
      </c>
      <c r="M63" s="8">
        <v>0</v>
      </c>
      <c r="N63" s="8">
        <v>0</v>
      </c>
      <c r="O63" s="8">
        <f t="shared" si="11"/>
        <v>0</v>
      </c>
      <c r="P63" s="31">
        <v>1.5</v>
      </c>
      <c r="Q63" s="31">
        <v>1.25</v>
      </c>
      <c r="R63" s="66">
        <f>IF(A63='Свод по районам'!$A$10,'Свод по районам'!$G$10,0)</f>
        <v>1.7383167575214782</v>
      </c>
      <c r="S63" s="76">
        <f>ROUND(((D63*$K$7+E63*$K$8+F63*$K$9)+(H63*$AA$7+I63*$AA$8+J63*$AA$9)+(L63*'по детям'!$K$10*0.2+M63*'по детям'!$K$11*0.2+N63*'по детям'!$K$12*0.2))*P63*Q63/1.302/12,1)</f>
        <v>363.9</v>
      </c>
      <c r="T63" s="12">
        <f t="shared" si="12"/>
        <v>175.38786885245901</v>
      </c>
      <c r="U63" s="11">
        <v>235.62557000000004</v>
      </c>
      <c r="V63" s="12">
        <f t="shared" si="13"/>
        <v>128.27442999999994</v>
      </c>
      <c r="W63" s="12">
        <f t="shared" si="0"/>
        <v>128.27442999999994</v>
      </c>
      <c r="X63" s="12">
        <f t="shared" si="1"/>
        <v>0</v>
      </c>
      <c r="Y63" s="20">
        <f t="shared" si="14"/>
        <v>-60.237701147541031</v>
      </c>
      <c r="Z63" s="12">
        <f t="shared" si="15"/>
        <v>0</v>
      </c>
      <c r="AA63" s="12">
        <f t="shared" si="16"/>
        <v>-60.237701147541031</v>
      </c>
      <c r="AB63" s="8">
        <v>4.9000000000000004</v>
      </c>
      <c r="AC63" s="20">
        <f t="shared" si="2"/>
        <v>74265.306122448979</v>
      </c>
      <c r="AD63" s="20">
        <f t="shared" si="17"/>
        <v>35793.44262295081</v>
      </c>
      <c r="AE63" s="20">
        <f t="shared" si="3"/>
        <v>48086.851020408169</v>
      </c>
      <c r="AF63" s="21">
        <f t="shared" si="4"/>
        <v>26178.455102040811</v>
      </c>
      <c r="AG63" s="23">
        <f t="shared" si="5"/>
        <v>10.166666666666666</v>
      </c>
      <c r="AH63" s="20">
        <f t="shared" si="6"/>
        <v>35793.442622950817</v>
      </c>
      <c r="AI63" s="20">
        <f t="shared" si="7"/>
        <v>23176.285573770496</v>
      </c>
      <c r="AJ63" s="20">
        <f t="shared" si="18"/>
        <v>12617.157049180321</v>
      </c>
      <c r="AK63" s="47">
        <f t="shared" si="8"/>
        <v>2.074829931972789</v>
      </c>
    </row>
    <row r="64" spans="1:37" x14ac:dyDescent="0.25">
      <c r="A64" s="8" t="s">
        <v>22</v>
      </c>
      <c r="C64" s="8" t="s">
        <v>89</v>
      </c>
      <c r="D64" s="8">
        <v>4</v>
      </c>
      <c r="E64" s="8">
        <v>5</v>
      </c>
      <c r="F64" s="8">
        <v>1</v>
      </c>
      <c r="G64" s="8">
        <f t="shared" si="9"/>
        <v>10</v>
      </c>
      <c r="K64" s="8">
        <f t="shared" si="10"/>
        <v>0</v>
      </c>
      <c r="L64" s="8">
        <v>0</v>
      </c>
      <c r="M64" s="8">
        <v>1</v>
      </c>
      <c r="N64" s="8">
        <v>0</v>
      </c>
      <c r="O64" s="8">
        <f t="shared" si="11"/>
        <v>1</v>
      </c>
      <c r="P64" s="31">
        <v>1.5</v>
      </c>
      <c r="Q64" s="31">
        <v>1.25</v>
      </c>
      <c r="R64" s="66">
        <f>IF(A64='Свод по районам'!$A$10,'Свод по районам'!$G$10,0)</f>
        <v>1.7383167575214782</v>
      </c>
      <c r="S64" s="76">
        <f>ROUND(((D64*$K$7+E64*$K$8+F64*$K$9)+(H64*$AA$7+I64*$AA$8+J64*$AA$9)+(L64*'по детям'!$K$10*0.2+M64*'по детям'!$K$11*0.2+N64*'по детям'!$K$12*0.2))*P64*Q64/1.302/12,1)</f>
        <v>591.70000000000005</v>
      </c>
      <c r="T64" s="12">
        <f t="shared" si="12"/>
        <v>430.32727272727277</v>
      </c>
      <c r="U64" s="11">
        <v>377.02510000000001</v>
      </c>
      <c r="V64" s="12">
        <f t="shared" si="13"/>
        <v>214.67490000000004</v>
      </c>
      <c r="W64" s="12">
        <f t="shared" si="0"/>
        <v>214.67490000000004</v>
      </c>
      <c r="X64" s="12">
        <f t="shared" si="1"/>
        <v>0</v>
      </c>
      <c r="Y64" s="20">
        <f t="shared" si="14"/>
        <v>53.302172727272762</v>
      </c>
      <c r="Z64" s="12">
        <f t="shared" si="15"/>
        <v>53.302172727272762</v>
      </c>
      <c r="AA64" s="12">
        <f t="shared" si="16"/>
        <v>0</v>
      </c>
      <c r="AB64" s="8">
        <v>12</v>
      </c>
      <c r="AC64" s="20">
        <f t="shared" si="2"/>
        <v>49308.333333333336</v>
      </c>
      <c r="AD64" s="20">
        <f t="shared" si="17"/>
        <v>35860.606060606064</v>
      </c>
      <c r="AE64" s="20">
        <f t="shared" si="3"/>
        <v>31418.758333333331</v>
      </c>
      <c r="AF64" s="21">
        <f t="shared" si="4"/>
        <v>17889.575000000004</v>
      </c>
      <c r="AG64" s="23">
        <f t="shared" si="5"/>
        <v>16.5</v>
      </c>
      <c r="AH64" s="20">
        <f t="shared" si="6"/>
        <v>35860.606060606064</v>
      </c>
      <c r="AI64" s="20">
        <f t="shared" si="7"/>
        <v>22850.006060606062</v>
      </c>
      <c r="AJ64" s="20">
        <f t="shared" si="18"/>
        <v>13010.600000000002</v>
      </c>
      <c r="AK64" s="47">
        <f t="shared" si="8"/>
        <v>1.375</v>
      </c>
    </row>
    <row r="65" spans="1:37" x14ac:dyDescent="0.25">
      <c r="A65" s="8" t="s">
        <v>22</v>
      </c>
      <c r="C65" s="8" t="s">
        <v>90</v>
      </c>
      <c r="D65" s="8">
        <v>4</v>
      </c>
      <c r="E65" s="8">
        <v>3</v>
      </c>
      <c r="F65" s="8">
        <v>1</v>
      </c>
      <c r="G65" s="8">
        <f t="shared" si="9"/>
        <v>8</v>
      </c>
      <c r="H65" s="8">
        <v>1</v>
      </c>
      <c r="I65" s="8">
        <v>2</v>
      </c>
      <c r="K65" s="8">
        <f t="shared" si="10"/>
        <v>3</v>
      </c>
      <c r="L65" s="8">
        <v>3</v>
      </c>
      <c r="M65" s="8">
        <v>2</v>
      </c>
      <c r="N65" s="8">
        <v>0</v>
      </c>
      <c r="O65" s="8">
        <f t="shared" si="11"/>
        <v>5</v>
      </c>
      <c r="P65" s="31">
        <v>1.5</v>
      </c>
      <c r="Q65" s="31">
        <v>1.25</v>
      </c>
      <c r="R65" s="66">
        <f>IF(A65='Свод по районам'!$A$10,'Свод по районам'!$G$10,0)</f>
        <v>1.7383167575214782</v>
      </c>
      <c r="S65" s="76">
        <f>ROUND(((D65*$K$7+E65*$K$8+F65*$K$9)+(H65*$AA$7+I65*$AA$8+J65*$AA$9)+(L65*'по детям'!$K$10*0.2+M65*'по детям'!$K$11*0.2+N65*'по детям'!$K$12*0.2))*P65*Q65/1.302/12,1)</f>
        <v>506.3</v>
      </c>
      <c r="T65" s="12">
        <f t="shared" si="12"/>
        <v>174.58620689655177</v>
      </c>
      <c r="U65" s="11">
        <v>215.57380999999998</v>
      </c>
      <c r="V65" s="12">
        <f t="shared" si="13"/>
        <v>290.72619000000003</v>
      </c>
      <c r="W65" s="12">
        <f t="shared" si="0"/>
        <v>290.72619000000003</v>
      </c>
      <c r="X65" s="12">
        <f t="shared" si="1"/>
        <v>0</v>
      </c>
      <c r="Y65" s="20">
        <f t="shared" si="14"/>
        <v>-40.987603103448208</v>
      </c>
      <c r="Z65" s="12">
        <f t="shared" si="15"/>
        <v>0</v>
      </c>
      <c r="AA65" s="12">
        <f t="shared" si="16"/>
        <v>-40.987603103448208</v>
      </c>
      <c r="AB65" s="8">
        <v>5</v>
      </c>
      <c r="AC65" s="20">
        <f t="shared" si="2"/>
        <v>101260</v>
      </c>
      <c r="AD65" s="20">
        <f t="shared" si="17"/>
        <v>34917.241379310355</v>
      </c>
      <c r="AE65" s="20">
        <f t="shared" si="3"/>
        <v>43114.762000000002</v>
      </c>
      <c r="AF65" s="21">
        <f t="shared" si="4"/>
        <v>58145.237999999998</v>
      </c>
      <c r="AG65" s="23">
        <f t="shared" si="5"/>
        <v>14.499999999999998</v>
      </c>
      <c r="AH65" s="20">
        <f t="shared" si="6"/>
        <v>34917.241379310348</v>
      </c>
      <c r="AI65" s="20">
        <f t="shared" si="7"/>
        <v>14867.159310344829</v>
      </c>
      <c r="AJ65" s="20">
        <f t="shared" si="18"/>
        <v>20050.082068965519</v>
      </c>
      <c r="AK65" s="47">
        <f t="shared" si="8"/>
        <v>2.8999999999999995</v>
      </c>
    </row>
    <row r="66" spans="1:37" x14ac:dyDescent="0.25">
      <c r="A66" s="8" t="s">
        <v>22</v>
      </c>
      <c r="B66" s="8" t="s">
        <v>263</v>
      </c>
      <c r="C66" s="8" t="s">
        <v>91</v>
      </c>
      <c r="D66" s="8">
        <v>2</v>
      </c>
      <c r="E66" s="8">
        <v>3</v>
      </c>
      <c r="F66" s="8">
        <v>1</v>
      </c>
      <c r="G66" s="8">
        <f t="shared" si="9"/>
        <v>6</v>
      </c>
      <c r="K66" s="8">
        <f t="shared" si="10"/>
        <v>0</v>
      </c>
      <c r="L66" s="8">
        <v>1</v>
      </c>
      <c r="M66" s="8">
        <v>1</v>
      </c>
      <c r="N66" s="8">
        <v>0</v>
      </c>
      <c r="O66" s="8">
        <f t="shared" si="11"/>
        <v>2</v>
      </c>
      <c r="P66" s="31">
        <v>1.5</v>
      </c>
      <c r="Q66" s="31">
        <v>1.25</v>
      </c>
      <c r="R66" s="66">
        <f>IF(A66='Свод по районам'!$A$10,'Свод по районам'!$G$10,0)</f>
        <v>1.7383167575214782</v>
      </c>
      <c r="S66" s="76">
        <f>ROUND(((D66*$K$7+E66*$K$8+F66*$K$9)+(H66*$AA$7+I66*$AA$8+J66*$AA$9)+(L66*'по детям'!$K$10*0.2+M66*'по детям'!$K$11*0.2+N66*'по детям'!$K$12*0.2))*P66*Q66/1.302/12,1)</f>
        <v>365</v>
      </c>
      <c r="T66" s="12">
        <f t="shared" si="12"/>
        <v>222.59016393442624</v>
      </c>
      <c r="U66" s="11">
        <v>243.40427</v>
      </c>
      <c r="V66" s="12">
        <f t="shared" si="13"/>
        <v>121.59573</v>
      </c>
      <c r="W66" s="12">
        <f t="shared" si="0"/>
        <v>121.59573</v>
      </c>
      <c r="X66" s="12">
        <f t="shared" si="1"/>
        <v>0</v>
      </c>
      <c r="Y66" s="20">
        <f t="shared" si="14"/>
        <v>-20.814106065573753</v>
      </c>
      <c r="Z66" s="12">
        <f t="shared" si="15"/>
        <v>0</v>
      </c>
      <c r="AA66" s="12">
        <f t="shared" si="16"/>
        <v>-20.814106065573753</v>
      </c>
      <c r="AB66" s="8">
        <v>6.2</v>
      </c>
      <c r="AC66" s="20">
        <f t="shared" si="2"/>
        <v>58870.967741935478</v>
      </c>
      <c r="AD66" s="20">
        <f t="shared" si="17"/>
        <v>35901.639344262301</v>
      </c>
      <c r="AE66" s="20">
        <f t="shared" si="3"/>
        <v>39258.753225806453</v>
      </c>
      <c r="AF66" s="21">
        <f t="shared" si="4"/>
        <v>19612.214516129025</v>
      </c>
      <c r="AG66" s="23">
        <f t="shared" si="5"/>
        <v>10.166666666666666</v>
      </c>
      <c r="AH66" s="20">
        <f t="shared" si="6"/>
        <v>35901.639344262301</v>
      </c>
      <c r="AI66" s="20">
        <f t="shared" si="7"/>
        <v>23941.403606557378</v>
      </c>
      <c r="AJ66" s="20">
        <f t="shared" si="18"/>
        <v>11960.235737704923</v>
      </c>
      <c r="AK66" s="47">
        <f t="shared" si="8"/>
        <v>1.639784946236559</v>
      </c>
    </row>
    <row r="67" spans="1:37" x14ac:dyDescent="0.25">
      <c r="A67" s="8" t="s">
        <v>22</v>
      </c>
      <c r="B67" s="8" t="s">
        <v>263</v>
      </c>
      <c r="C67" s="8" t="s">
        <v>92</v>
      </c>
      <c r="D67" s="8">
        <v>2</v>
      </c>
      <c r="E67" s="8">
        <v>3</v>
      </c>
      <c r="F67" s="8">
        <v>1</v>
      </c>
      <c r="G67" s="8">
        <f t="shared" si="9"/>
        <v>6</v>
      </c>
      <c r="K67" s="8">
        <f t="shared" si="10"/>
        <v>0</v>
      </c>
      <c r="L67" s="8">
        <v>2</v>
      </c>
      <c r="M67" s="8">
        <v>0</v>
      </c>
      <c r="N67" s="8">
        <v>0</v>
      </c>
      <c r="O67" s="8">
        <f t="shared" si="11"/>
        <v>2</v>
      </c>
      <c r="P67" s="31">
        <v>1.5</v>
      </c>
      <c r="Q67" s="31">
        <v>1.25</v>
      </c>
      <c r="R67" s="66">
        <f>IF(A67='Свод по районам'!$A$10,'Свод по районам'!$G$10,0)</f>
        <v>1.7383167575214782</v>
      </c>
      <c r="S67" s="76">
        <f>ROUND(((D67*$K$7+E67*$K$8+F67*$K$9)+(H67*$AA$7+I67*$AA$8+J67*$AA$9)+(L67*'по детям'!$K$10*0.2+M67*'по детям'!$K$11*0.2+N67*'по детям'!$K$12*0.2))*P67*Q67/1.302/12,1)</f>
        <v>364.8</v>
      </c>
      <c r="T67" s="12">
        <f t="shared" si="12"/>
        <v>179.40983606557378</v>
      </c>
      <c r="U67" s="11">
        <v>242.28094999999999</v>
      </c>
      <c r="V67" s="12">
        <f t="shared" si="13"/>
        <v>122.51905000000002</v>
      </c>
      <c r="W67" s="12">
        <f t="shared" si="0"/>
        <v>122.51905000000002</v>
      </c>
      <c r="X67" s="12">
        <f t="shared" si="1"/>
        <v>0</v>
      </c>
      <c r="Y67" s="20">
        <f t="shared" si="14"/>
        <v>-62.871113934426205</v>
      </c>
      <c r="Z67" s="12">
        <f t="shared" si="15"/>
        <v>0</v>
      </c>
      <c r="AA67" s="12">
        <f t="shared" si="16"/>
        <v>-62.871113934426205</v>
      </c>
      <c r="AB67" s="8">
        <v>5</v>
      </c>
      <c r="AC67" s="20">
        <f t="shared" si="2"/>
        <v>72960.000000000015</v>
      </c>
      <c r="AD67" s="20">
        <f t="shared" si="17"/>
        <v>35881.967213114753</v>
      </c>
      <c r="AE67" s="20">
        <f t="shared" si="3"/>
        <v>48456.19</v>
      </c>
      <c r="AF67" s="21">
        <f t="shared" si="4"/>
        <v>24503.810000000012</v>
      </c>
      <c r="AG67" s="23">
        <f t="shared" si="5"/>
        <v>10.166666666666666</v>
      </c>
      <c r="AH67" s="20">
        <f t="shared" si="6"/>
        <v>35881.967213114753</v>
      </c>
      <c r="AI67" s="20">
        <f t="shared" si="7"/>
        <v>23830.913114754101</v>
      </c>
      <c r="AJ67" s="20">
        <f t="shared" si="18"/>
        <v>12051.054098360652</v>
      </c>
      <c r="AK67" s="47">
        <f t="shared" si="8"/>
        <v>2.0333333333333332</v>
      </c>
    </row>
    <row r="68" spans="1:37" x14ac:dyDescent="0.25">
      <c r="A68" s="8" t="s">
        <v>22</v>
      </c>
      <c r="C68" s="8" t="s">
        <v>93</v>
      </c>
      <c r="D68" s="8">
        <v>4</v>
      </c>
      <c r="E68" s="8">
        <v>5</v>
      </c>
      <c r="F68" s="8">
        <v>1</v>
      </c>
      <c r="G68" s="8">
        <f t="shared" si="9"/>
        <v>10</v>
      </c>
      <c r="H68" s="8">
        <v>1</v>
      </c>
      <c r="K68" s="8">
        <f t="shared" si="10"/>
        <v>1</v>
      </c>
      <c r="L68" s="8">
        <v>2</v>
      </c>
      <c r="M68" s="8">
        <v>1</v>
      </c>
      <c r="N68" s="8">
        <v>0</v>
      </c>
      <c r="O68" s="8">
        <f t="shared" si="11"/>
        <v>3</v>
      </c>
      <c r="P68" s="31">
        <v>1.5</v>
      </c>
      <c r="Q68" s="31">
        <v>1.25</v>
      </c>
      <c r="R68" s="66">
        <f>IF(A68='Свод по районам'!$A$10,'Свод по районам'!$G$10,0)</f>
        <v>1.7383167575214782</v>
      </c>
      <c r="S68" s="76">
        <f>ROUND(((D68*$K$7+E68*$K$8+F68*$K$9)+(H68*$AA$7+I68*$AA$8+J68*$AA$9)+(L68*'по детям'!$K$10*0.2+M68*'по детям'!$K$11*0.2+N68*'по детям'!$K$12*0.2))*P68*Q68/1.302/12,1)</f>
        <v>604.29999999999995</v>
      </c>
      <c r="T68" s="12">
        <f t="shared" si="12"/>
        <v>456.49416393442624</v>
      </c>
      <c r="U68" s="11">
        <v>301.79946999999999</v>
      </c>
      <c r="V68" s="12">
        <f t="shared" si="13"/>
        <v>302.50052999999997</v>
      </c>
      <c r="W68" s="12">
        <f t="shared" si="0"/>
        <v>302.50052999999997</v>
      </c>
      <c r="X68" s="12">
        <f t="shared" si="1"/>
        <v>0</v>
      </c>
      <c r="Y68" s="20">
        <f t="shared" si="14"/>
        <v>154.69469393442625</v>
      </c>
      <c r="Z68" s="12">
        <f t="shared" si="15"/>
        <v>154.69469393442625</v>
      </c>
      <c r="AA68" s="12">
        <f t="shared" si="16"/>
        <v>0</v>
      </c>
      <c r="AB68" s="8">
        <v>12.8</v>
      </c>
      <c r="AC68" s="20">
        <f t="shared" si="2"/>
        <v>47210.937499999993</v>
      </c>
      <c r="AD68" s="20">
        <f t="shared" si="17"/>
        <v>35663.606557377054</v>
      </c>
      <c r="AE68" s="20">
        <f t="shared" si="3"/>
        <v>23578.083593749998</v>
      </c>
      <c r="AF68" s="21">
        <f t="shared" si="4"/>
        <v>23632.853906249995</v>
      </c>
      <c r="AG68" s="23">
        <f t="shared" si="5"/>
        <v>16.944444444444443</v>
      </c>
      <c r="AH68" s="20">
        <f t="shared" si="6"/>
        <v>35663.606557377054</v>
      </c>
      <c r="AI68" s="20">
        <f t="shared" si="7"/>
        <v>17811.116262295083</v>
      </c>
      <c r="AJ68" s="20">
        <f t="shared" si="18"/>
        <v>17852.490295081971</v>
      </c>
      <c r="AK68" s="47">
        <f t="shared" si="8"/>
        <v>1.3237847222222221</v>
      </c>
    </row>
    <row r="69" spans="1:37" x14ac:dyDescent="0.25">
      <c r="A69" s="8" t="s">
        <v>22</v>
      </c>
      <c r="B69" s="8" t="s">
        <v>263</v>
      </c>
      <c r="C69" s="8" t="s">
        <v>94</v>
      </c>
      <c r="D69" s="8">
        <v>2</v>
      </c>
      <c r="E69" s="8">
        <v>3</v>
      </c>
      <c r="F69" s="8">
        <v>1</v>
      </c>
      <c r="G69" s="8">
        <f t="shared" si="9"/>
        <v>6</v>
      </c>
      <c r="I69" s="8">
        <v>1</v>
      </c>
      <c r="K69" s="8">
        <f t="shared" si="10"/>
        <v>1</v>
      </c>
      <c r="L69" s="8">
        <v>1</v>
      </c>
      <c r="M69" s="8">
        <v>0</v>
      </c>
      <c r="N69" s="8">
        <v>0</v>
      </c>
      <c r="O69" s="8">
        <f t="shared" si="11"/>
        <v>1</v>
      </c>
      <c r="P69" s="31">
        <v>1.5</v>
      </c>
      <c r="Q69" s="31">
        <v>1.25</v>
      </c>
      <c r="R69" s="66">
        <f>IF(A69='Свод по районам'!$A$10,'Свод по районам'!$G$10,0)</f>
        <v>1.7383167575214782</v>
      </c>
      <c r="S69" s="76">
        <f>ROUND(((D69*$K$7+E69*$K$8+F69*$K$9)+(H69*$AA$7+I69*$AA$8+J69*$AA$9)+(L69*'по детям'!$K$10*0.2+M69*'по детям'!$K$11*0.2+N69*'по детям'!$K$12*0.2))*P69*Q69/1.302/12,1)</f>
        <v>380.2</v>
      </c>
      <c r="T69" s="12">
        <f t="shared" si="12"/>
        <v>176.38144329896909</v>
      </c>
      <c r="U69" s="11">
        <v>251.49048999999997</v>
      </c>
      <c r="V69" s="12">
        <f t="shared" si="13"/>
        <v>128.70951000000002</v>
      </c>
      <c r="W69" s="12">
        <f t="shared" si="0"/>
        <v>128.70951000000002</v>
      </c>
      <c r="X69" s="12">
        <f t="shared" si="1"/>
        <v>0</v>
      </c>
      <c r="Y69" s="20">
        <f t="shared" si="14"/>
        <v>-75.109046701030877</v>
      </c>
      <c r="Z69" s="12">
        <f t="shared" si="15"/>
        <v>0</v>
      </c>
      <c r="AA69" s="12">
        <f t="shared" si="16"/>
        <v>-75.109046701030877</v>
      </c>
      <c r="AB69" s="8">
        <v>5</v>
      </c>
      <c r="AC69" s="20">
        <f t="shared" si="2"/>
        <v>76039.999999999985</v>
      </c>
      <c r="AD69" s="20">
        <f t="shared" si="17"/>
        <v>35276.28865979382</v>
      </c>
      <c r="AE69" s="20">
        <f t="shared" si="3"/>
        <v>50298.097999999998</v>
      </c>
      <c r="AF69" s="21">
        <f t="shared" si="4"/>
        <v>25741.901999999987</v>
      </c>
      <c r="AG69" s="23">
        <f t="shared" si="5"/>
        <v>10.777777777777777</v>
      </c>
      <c r="AH69" s="20">
        <f t="shared" si="6"/>
        <v>35276.288659793812</v>
      </c>
      <c r="AI69" s="20">
        <f t="shared" si="7"/>
        <v>23334.169175257732</v>
      </c>
      <c r="AJ69" s="20">
        <f t="shared" si="18"/>
        <v>11942.119484536081</v>
      </c>
      <c r="AK69" s="47">
        <f t="shared" si="8"/>
        <v>2.1555555555555554</v>
      </c>
    </row>
    <row r="70" spans="1:37" x14ac:dyDescent="0.25">
      <c r="A70" s="8" t="s">
        <v>22</v>
      </c>
      <c r="B70" s="8" t="s">
        <v>263</v>
      </c>
      <c r="C70" s="8" t="s">
        <v>95</v>
      </c>
      <c r="D70" s="8">
        <v>3</v>
      </c>
      <c r="E70" s="8">
        <v>3</v>
      </c>
      <c r="F70" s="8">
        <v>2</v>
      </c>
      <c r="G70" s="8">
        <f t="shared" si="9"/>
        <v>8</v>
      </c>
      <c r="K70" s="8">
        <f t="shared" si="10"/>
        <v>0</v>
      </c>
      <c r="L70" s="8">
        <v>1</v>
      </c>
      <c r="M70" s="8">
        <v>0</v>
      </c>
      <c r="N70" s="8">
        <v>0</v>
      </c>
      <c r="O70" s="8">
        <f t="shared" si="11"/>
        <v>1</v>
      </c>
      <c r="P70" s="31">
        <v>1.5</v>
      </c>
      <c r="Q70" s="31">
        <v>1.25</v>
      </c>
      <c r="R70" s="66">
        <f>IF(A70='Свод по районам'!$A$10,'Свод по районам'!$G$10,0)</f>
        <v>1.7383167575214782</v>
      </c>
      <c r="S70" s="76">
        <f>ROUND(((D70*$K$7+E70*$K$8+F70*$K$9)+(H70*$AA$7+I70*$AA$8+J70*$AA$9)+(L70*'по детям'!$K$10*0.2+M70*'по детям'!$K$11*0.2+N70*'по детям'!$K$12*0.2))*P70*Q70/1.302/12,1)</f>
        <v>483.9</v>
      </c>
      <c r="T70" s="12">
        <f t="shared" si="12"/>
        <v>250.9111111111111</v>
      </c>
      <c r="U70" s="11">
        <v>321.90322000000003</v>
      </c>
      <c r="V70" s="12">
        <f t="shared" si="13"/>
        <v>161.99677999999994</v>
      </c>
      <c r="W70" s="12">
        <f t="shared" si="0"/>
        <v>161.99677999999994</v>
      </c>
      <c r="X70" s="12">
        <f t="shared" si="1"/>
        <v>0</v>
      </c>
      <c r="Y70" s="20">
        <f t="shared" si="14"/>
        <v>-70.992108888888936</v>
      </c>
      <c r="Z70" s="12">
        <f t="shared" si="15"/>
        <v>0</v>
      </c>
      <c r="AA70" s="12">
        <f t="shared" si="16"/>
        <v>-70.992108888888936</v>
      </c>
      <c r="AB70" s="8">
        <v>7</v>
      </c>
      <c r="AC70" s="20">
        <f t="shared" si="2"/>
        <v>69128.57142857142</v>
      </c>
      <c r="AD70" s="20">
        <f t="shared" si="17"/>
        <v>35844.444444444438</v>
      </c>
      <c r="AE70" s="20">
        <f t="shared" si="3"/>
        <v>45986.174285714289</v>
      </c>
      <c r="AF70" s="21">
        <f t="shared" si="4"/>
        <v>23142.397142857131</v>
      </c>
      <c r="AG70" s="23">
        <f t="shared" si="5"/>
        <v>13.5</v>
      </c>
      <c r="AH70" s="20">
        <f t="shared" si="6"/>
        <v>35844.444444444438</v>
      </c>
      <c r="AI70" s="20">
        <f t="shared" si="7"/>
        <v>23844.682962962968</v>
      </c>
      <c r="AJ70" s="20">
        <f t="shared" si="18"/>
        <v>11999.76148148147</v>
      </c>
      <c r="AK70" s="47">
        <f t="shared" si="8"/>
        <v>1.9285714285714286</v>
      </c>
    </row>
    <row r="71" spans="1:37" x14ac:dyDescent="0.25">
      <c r="A71" s="8" t="s">
        <v>23</v>
      </c>
      <c r="B71" s="8" t="s">
        <v>263</v>
      </c>
      <c r="C71" s="8" t="s">
        <v>96</v>
      </c>
      <c r="D71" s="8">
        <v>1</v>
      </c>
      <c r="G71" s="8">
        <f t="shared" si="9"/>
        <v>1</v>
      </c>
      <c r="K71" s="8">
        <f t="shared" si="10"/>
        <v>0</v>
      </c>
      <c r="L71" s="8">
        <v>0</v>
      </c>
      <c r="M71" s="8">
        <v>0</v>
      </c>
      <c r="N71" s="8">
        <v>0</v>
      </c>
      <c r="O71" s="8">
        <f t="shared" si="11"/>
        <v>0</v>
      </c>
      <c r="P71" s="31">
        <v>1.5</v>
      </c>
      <c r="Q71" s="31">
        <v>1.25</v>
      </c>
      <c r="R71" s="66">
        <f>IF(A71='Свод по районам'!$A$11,'Свод по районам'!$G$11,0)</f>
        <v>1.3302169816672833</v>
      </c>
      <c r="S71" s="76">
        <f>ROUND(((D71*$K$7+E71*$K$8+F71*$K$9)+(H71*$AA$7+I71*$AA$8+J71*$AA$9)+(L71*'по детям'!$K$10*0.2+M71*'по детям'!$K$11*0.2+N71*'по детям'!$K$12*0.2))*P71*Q71/1.302/12,1)</f>
        <v>48.2</v>
      </c>
      <c r="T71" s="12">
        <f t="shared" si="12"/>
        <v>36.150000000000006</v>
      </c>
      <c r="U71" s="11">
        <v>36.632470000000005</v>
      </c>
      <c r="V71" s="12">
        <f t="shared" si="13"/>
        <v>11.567529999999998</v>
      </c>
      <c r="W71" s="12">
        <f t="shared" si="0"/>
        <v>11.567529999999998</v>
      </c>
      <c r="X71" s="12">
        <f t="shared" si="1"/>
        <v>0</v>
      </c>
      <c r="Y71" s="20">
        <f t="shared" si="14"/>
        <v>-0.48246999999999929</v>
      </c>
      <c r="Z71" s="12">
        <f t="shared" si="15"/>
        <v>0</v>
      </c>
      <c r="AA71" s="12">
        <f t="shared" si="16"/>
        <v>-0.48246999999999929</v>
      </c>
      <c r="AB71" s="8">
        <v>1</v>
      </c>
      <c r="AC71" s="20">
        <f t="shared" si="2"/>
        <v>48200</v>
      </c>
      <c r="AD71" s="20">
        <f t="shared" si="17"/>
        <v>36150.000000000007</v>
      </c>
      <c r="AE71" s="20">
        <f t="shared" si="3"/>
        <v>36632.470000000008</v>
      </c>
      <c r="AF71" s="21">
        <f t="shared" si="4"/>
        <v>11567.529999999992</v>
      </c>
      <c r="AG71" s="23">
        <f t="shared" si="5"/>
        <v>1.3333333333333333</v>
      </c>
      <c r="AH71" s="20">
        <f t="shared" si="6"/>
        <v>36150.000000000007</v>
      </c>
      <c r="AI71" s="20">
        <f t="shared" si="7"/>
        <v>27474.352500000005</v>
      </c>
      <c r="AJ71" s="20">
        <f t="shared" si="18"/>
        <v>8675.6475000000028</v>
      </c>
      <c r="AK71" s="47">
        <f t="shared" si="8"/>
        <v>1.3333333333333333</v>
      </c>
    </row>
    <row r="72" spans="1:37" x14ac:dyDescent="0.25">
      <c r="A72" s="8" t="s">
        <v>23</v>
      </c>
      <c r="C72" s="8" t="s">
        <v>97</v>
      </c>
      <c r="D72" s="8">
        <v>2</v>
      </c>
      <c r="G72" s="8">
        <f t="shared" si="9"/>
        <v>2</v>
      </c>
      <c r="K72" s="8">
        <f t="shared" si="10"/>
        <v>0</v>
      </c>
      <c r="L72" s="8">
        <v>1</v>
      </c>
      <c r="M72" s="8">
        <v>0</v>
      </c>
      <c r="N72" s="8">
        <v>0</v>
      </c>
      <c r="O72" s="8">
        <f t="shared" si="11"/>
        <v>1</v>
      </c>
      <c r="P72" s="31">
        <v>1.5</v>
      </c>
      <c r="Q72" s="31">
        <v>1.25</v>
      </c>
      <c r="R72" s="66">
        <f>IF(A72='Свод по районам'!$A$11,'Свод по районам'!$G$11,0)</f>
        <v>1.3302169816672833</v>
      </c>
      <c r="S72" s="76">
        <f>ROUND(((D72*$K$7+E72*$K$8+F72*$K$9)+(H72*$AA$7+I72*$AA$8+J72*$AA$9)+(L72*'по детям'!$K$10*0.2+M72*'по детям'!$K$11*0.2+N72*'по детям'!$K$12*0.2))*P72*Q72/1.302/12,1)</f>
        <v>96.8</v>
      </c>
      <c r="T72" s="12">
        <f t="shared" si="12"/>
        <v>108.9</v>
      </c>
      <c r="U72" s="11">
        <v>84.777780000000007</v>
      </c>
      <c r="V72" s="12">
        <f t="shared" si="13"/>
        <v>12.02221999999999</v>
      </c>
      <c r="W72" s="12">
        <f t="shared" si="0"/>
        <v>12.02221999999999</v>
      </c>
      <c r="X72" s="12">
        <f t="shared" si="1"/>
        <v>0</v>
      </c>
      <c r="Y72" s="20">
        <f t="shared" si="14"/>
        <v>24.122219999999999</v>
      </c>
      <c r="Z72" s="12">
        <f t="shared" si="15"/>
        <v>24.122219999999999</v>
      </c>
      <c r="AA72" s="12">
        <f t="shared" si="16"/>
        <v>0</v>
      </c>
      <c r="AB72" s="8">
        <v>3</v>
      </c>
      <c r="AC72" s="20">
        <f t="shared" si="2"/>
        <v>32266.666666666664</v>
      </c>
      <c r="AD72" s="20">
        <f t="shared" si="17"/>
        <v>36300.000000000007</v>
      </c>
      <c r="AE72" s="20">
        <f t="shared" si="3"/>
        <v>28259.260000000002</v>
      </c>
      <c r="AF72" s="21">
        <f t="shared" si="4"/>
        <v>4007.4066666666622</v>
      </c>
      <c r="AG72" s="23">
        <f t="shared" si="5"/>
        <v>2.6666666666666665</v>
      </c>
      <c r="AH72" s="20">
        <f t="shared" si="6"/>
        <v>36300.000000000007</v>
      </c>
      <c r="AI72" s="20">
        <f t="shared" si="7"/>
        <v>31791.667500000003</v>
      </c>
      <c r="AJ72" s="20">
        <f t="shared" si="18"/>
        <v>4508.3325000000041</v>
      </c>
      <c r="AK72" s="47">
        <f t="shared" si="8"/>
        <v>0.88888888888888884</v>
      </c>
    </row>
    <row r="73" spans="1:37" x14ac:dyDescent="0.25">
      <c r="A73" s="8" t="s">
        <v>23</v>
      </c>
      <c r="B73" s="8" t="s">
        <v>263</v>
      </c>
      <c r="C73" s="8" t="s">
        <v>98</v>
      </c>
      <c r="D73" s="8">
        <v>1</v>
      </c>
      <c r="G73" s="8">
        <f t="shared" si="9"/>
        <v>1</v>
      </c>
      <c r="K73" s="8">
        <f t="shared" si="10"/>
        <v>0</v>
      </c>
      <c r="L73" s="8">
        <v>0</v>
      </c>
      <c r="M73" s="8">
        <v>0</v>
      </c>
      <c r="N73" s="8">
        <v>0</v>
      </c>
      <c r="O73" s="8">
        <f t="shared" si="11"/>
        <v>0</v>
      </c>
      <c r="P73" s="31">
        <v>1.5</v>
      </c>
      <c r="Q73" s="31">
        <v>1.25</v>
      </c>
      <c r="R73" s="66">
        <f>IF(A73='Свод по районам'!$A$11,'Свод по районам'!$G$11,0)</f>
        <v>1.3302169816672833</v>
      </c>
      <c r="S73" s="76">
        <f>ROUND(((D73*$K$7+E73*$K$8+F73*$K$9)+(H73*$AA$7+I73*$AA$8+J73*$AA$9)+(L73*'по детям'!$K$10*0.2+M73*'по детям'!$K$11*0.2+N73*'по детям'!$K$12*0.2))*P73*Q73/1.302/12,1)</f>
        <v>48.2</v>
      </c>
      <c r="T73" s="12">
        <f t="shared" si="12"/>
        <v>72.300000000000011</v>
      </c>
      <c r="U73" s="11">
        <v>42.942250000000001</v>
      </c>
      <c r="V73" s="12">
        <f t="shared" si="13"/>
        <v>5.2577500000000015</v>
      </c>
      <c r="W73" s="12">
        <f t="shared" si="0"/>
        <v>5.2577500000000015</v>
      </c>
      <c r="X73" s="12">
        <f t="shared" si="1"/>
        <v>0</v>
      </c>
      <c r="Y73" s="20">
        <f t="shared" si="14"/>
        <v>29.35775000000001</v>
      </c>
      <c r="Z73" s="12">
        <f t="shared" si="15"/>
        <v>29.35775000000001</v>
      </c>
      <c r="AA73" s="12">
        <f t="shared" si="16"/>
        <v>0</v>
      </c>
      <c r="AB73" s="8">
        <v>2</v>
      </c>
      <c r="AC73" s="20">
        <f t="shared" si="2"/>
        <v>24100</v>
      </c>
      <c r="AD73" s="20">
        <f t="shared" si="17"/>
        <v>36150.000000000007</v>
      </c>
      <c r="AE73" s="20">
        <f t="shared" si="3"/>
        <v>21471.125</v>
      </c>
      <c r="AF73" s="21">
        <f t="shared" si="4"/>
        <v>2628.875</v>
      </c>
      <c r="AG73" s="23">
        <f t="shared" si="5"/>
        <v>1.3333333333333333</v>
      </c>
      <c r="AH73" s="20">
        <f t="shared" si="6"/>
        <v>36150.000000000007</v>
      </c>
      <c r="AI73" s="20">
        <f t="shared" si="7"/>
        <v>32206.6875</v>
      </c>
      <c r="AJ73" s="20">
        <f t="shared" si="18"/>
        <v>3943.3125000000073</v>
      </c>
      <c r="AK73" s="47">
        <f t="shared" si="8"/>
        <v>0.66666666666666663</v>
      </c>
    </row>
    <row r="74" spans="1:37" x14ac:dyDescent="0.25">
      <c r="A74" s="8" t="s">
        <v>23</v>
      </c>
      <c r="B74" s="8" t="s">
        <v>263</v>
      </c>
      <c r="C74" s="8" t="s">
        <v>99</v>
      </c>
      <c r="D74" s="8">
        <v>2</v>
      </c>
      <c r="E74" s="8">
        <v>3</v>
      </c>
      <c r="G74" s="8">
        <f t="shared" si="9"/>
        <v>5</v>
      </c>
      <c r="H74" s="8">
        <v>1</v>
      </c>
      <c r="K74" s="8">
        <f t="shared" si="10"/>
        <v>1</v>
      </c>
      <c r="L74" s="8">
        <v>0</v>
      </c>
      <c r="M74" s="8">
        <v>0</v>
      </c>
      <c r="N74" s="8">
        <v>0</v>
      </c>
      <c r="O74" s="8">
        <f t="shared" si="11"/>
        <v>0</v>
      </c>
      <c r="P74" s="31">
        <v>1.5</v>
      </c>
      <c r="Q74" s="31">
        <v>1.25</v>
      </c>
      <c r="R74" s="66">
        <f>IF(A74='Свод по районам'!$A$11,'Свод по районам'!$G$11,0)</f>
        <v>1.3302169816672833</v>
      </c>
      <c r="S74" s="76">
        <f>ROUND(((D74*$K$7+E74*$K$8+F74*$K$9)+(H74*$AA$7+I74*$AA$8+J74*$AA$9)+(L74*'по детям'!$K$10*0.2+M74*'по детям'!$K$11*0.2+N74*'по детям'!$K$12*0.2))*P74*Q74/1.302/12,1)</f>
        <v>304.3</v>
      </c>
      <c r="T74" s="12">
        <f t="shared" si="12"/>
        <v>282.7045161290323</v>
      </c>
      <c r="U74" s="11">
        <v>230.48254</v>
      </c>
      <c r="V74" s="12">
        <f t="shared" si="13"/>
        <v>73.817460000000011</v>
      </c>
      <c r="W74" s="12">
        <f t="shared" si="0"/>
        <v>73.817460000000011</v>
      </c>
      <c r="X74" s="12">
        <f t="shared" si="1"/>
        <v>0</v>
      </c>
      <c r="Y74" s="20">
        <f t="shared" si="14"/>
        <v>52.221976129032299</v>
      </c>
      <c r="Z74" s="12">
        <f t="shared" si="15"/>
        <v>52.221976129032299</v>
      </c>
      <c r="AA74" s="12">
        <f t="shared" si="16"/>
        <v>0</v>
      </c>
      <c r="AB74" s="8">
        <v>8</v>
      </c>
      <c r="AC74" s="20">
        <f t="shared" si="2"/>
        <v>38037.5</v>
      </c>
      <c r="AD74" s="20">
        <f t="shared" si="17"/>
        <v>35338.064516129038</v>
      </c>
      <c r="AE74" s="20">
        <f t="shared" si="3"/>
        <v>28810.317500000001</v>
      </c>
      <c r="AF74" s="21">
        <f t="shared" si="4"/>
        <v>9227.182499999999</v>
      </c>
      <c r="AG74" s="23">
        <f t="shared" si="5"/>
        <v>8.6111111111111107</v>
      </c>
      <c r="AH74" s="20">
        <f t="shared" si="6"/>
        <v>35338.064516129038</v>
      </c>
      <c r="AI74" s="20">
        <f t="shared" si="7"/>
        <v>26765.714322580647</v>
      </c>
      <c r="AJ74" s="20">
        <f t="shared" si="18"/>
        <v>8572.350193548391</v>
      </c>
      <c r="AK74" s="47">
        <f t="shared" si="8"/>
        <v>1.0763888888888888</v>
      </c>
    </row>
    <row r="75" spans="1:37" x14ac:dyDescent="0.25">
      <c r="A75" s="8" t="s">
        <v>23</v>
      </c>
      <c r="C75" s="8" t="s">
        <v>100</v>
      </c>
      <c r="D75" s="8">
        <v>4</v>
      </c>
      <c r="E75" s="8">
        <v>3</v>
      </c>
      <c r="G75" s="8">
        <f t="shared" si="9"/>
        <v>7</v>
      </c>
      <c r="H75" s="8">
        <v>2</v>
      </c>
      <c r="K75" s="8">
        <f t="shared" si="10"/>
        <v>2</v>
      </c>
      <c r="L75" s="8">
        <v>2</v>
      </c>
      <c r="M75" s="8">
        <v>1</v>
      </c>
      <c r="N75" s="8">
        <v>0</v>
      </c>
      <c r="O75" s="8">
        <f t="shared" si="11"/>
        <v>3</v>
      </c>
      <c r="P75" s="31">
        <v>1.5</v>
      </c>
      <c r="Q75" s="31">
        <v>1.25</v>
      </c>
      <c r="R75" s="66">
        <f>IF(A75='Свод по районам'!$A$11,'Свод по районам'!$G$11,0)</f>
        <v>1.3302169816672833</v>
      </c>
      <c r="S75" s="76">
        <f>ROUND(((D75*$K$7+E75*$K$8+F75*$K$9)+(H75*$AA$7+I75*$AA$8+J75*$AA$9)+(L75*'по детям'!$K$10*0.2+M75*'по детям'!$K$11*0.2+N75*'по детям'!$K$12*0.2))*P75*Q75/1.302/12,1)</f>
        <v>413.9</v>
      </c>
      <c r="T75" s="12">
        <f t="shared" si="12"/>
        <v>388.39905213270146</v>
      </c>
      <c r="U75" s="11">
        <v>354.27037999999999</v>
      </c>
      <c r="V75" s="12">
        <f t="shared" si="13"/>
        <v>59.629619999999989</v>
      </c>
      <c r="W75" s="12">
        <f t="shared" si="0"/>
        <v>59.629619999999989</v>
      </c>
      <c r="X75" s="12">
        <f t="shared" si="1"/>
        <v>0</v>
      </c>
      <c r="Y75" s="20">
        <f t="shared" si="14"/>
        <v>34.128672132701467</v>
      </c>
      <c r="Z75" s="12">
        <f t="shared" si="15"/>
        <v>34.128672132701467</v>
      </c>
      <c r="AA75" s="12">
        <f t="shared" si="16"/>
        <v>0</v>
      </c>
      <c r="AB75" s="8">
        <v>11</v>
      </c>
      <c r="AC75" s="20">
        <f t="shared" si="2"/>
        <v>37627.272727272728</v>
      </c>
      <c r="AD75" s="20">
        <f t="shared" si="17"/>
        <v>35309.004739336495</v>
      </c>
      <c r="AE75" s="20">
        <f t="shared" si="3"/>
        <v>32206.398181818182</v>
      </c>
      <c r="AF75" s="21">
        <f t="shared" si="4"/>
        <v>5420.874545454546</v>
      </c>
      <c r="AG75" s="23">
        <f t="shared" si="5"/>
        <v>11.722222222222221</v>
      </c>
      <c r="AH75" s="20">
        <f t="shared" si="6"/>
        <v>35309.004739336495</v>
      </c>
      <c r="AI75" s="20">
        <f t="shared" si="7"/>
        <v>30222.117725118482</v>
      </c>
      <c r="AJ75" s="20">
        <f t="shared" si="18"/>
        <v>5086.8870142180131</v>
      </c>
      <c r="AK75" s="47">
        <f t="shared" si="8"/>
        <v>1.0656565656565655</v>
      </c>
    </row>
    <row r="76" spans="1:37" x14ac:dyDescent="0.25">
      <c r="A76" s="8" t="s">
        <v>23</v>
      </c>
      <c r="C76" s="84" t="s">
        <v>317</v>
      </c>
      <c r="D76" s="8">
        <v>2</v>
      </c>
      <c r="G76" s="8">
        <f t="shared" si="9"/>
        <v>2</v>
      </c>
      <c r="K76" s="8">
        <f t="shared" ref="K76" si="19">SUM(H76:J76)</f>
        <v>0</v>
      </c>
      <c r="L76" s="8">
        <v>3</v>
      </c>
      <c r="M76" s="8">
        <v>0</v>
      </c>
      <c r="N76" s="8">
        <v>0</v>
      </c>
      <c r="O76" s="8">
        <f t="shared" ref="O76" si="20">SUM(L76:N76)</f>
        <v>3</v>
      </c>
      <c r="P76" s="31">
        <v>1.5</v>
      </c>
      <c r="Q76" s="31">
        <v>1</v>
      </c>
      <c r="R76" s="66">
        <f>IF(A76='Свод по районам'!$A$11,'Свод по районам'!$G$11,0)</f>
        <v>1.3302169816672833</v>
      </c>
      <c r="S76" s="77">
        <f>ROUND(((D76*$K$7+E76*$K$8+F76*$K$9)+(H76*$AA$7+I76*$AA$8+J76*$AA$9)+(L76*'по детям'!$K$10*0.2+M76*'по детям'!$K$11*0.2+N76*'по детям'!$K$12*0.2))*P76*Q76/1.302/12,1)</f>
        <v>78.099999999999994</v>
      </c>
      <c r="T76" s="12">
        <f t="shared" si="12"/>
        <v>87.862499999999997</v>
      </c>
      <c r="U76" s="11">
        <v>75.900000000000006</v>
      </c>
      <c r="V76" s="12">
        <f t="shared" ref="V76" si="21">S76-U76</f>
        <v>2.1999999999999886</v>
      </c>
      <c r="W76" s="12">
        <f t="shared" ref="W76" si="22">IF(V76&gt;0,V76,0)</f>
        <v>2.1999999999999886</v>
      </c>
      <c r="X76" s="12">
        <f t="shared" ref="X76" si="23">IF(V76&lt;0,V76,0)</f>
        <v>0</v>
      </c>
      <c r="Y76" s="20">
        <f t="shared" ref="Y76" si="24">T76-U76</f>
        <v>11.962499999999991</v>
      </c>
      <c r="Z76" s="12">
        <f t="shared" ref="Z76" si="25">IF(Y76&gt;0,Y76,0)</f>
        <v>11.962499999999991</v>
      </c>
      <c r="AA76" s="12">
        <f t="shared" ref="AA76" si="26">IF(Y76&lt;0,Y76,0)</f>
        <v>0</v>
      </c>
      <c r="AB76" s="8">
        <v>3</v>
      </c>
      <c r="AC76" s="20">
        <f t="shared" si="2"/>
        <v>26033.333333333332</v>
      </c>
      <c r="AD76" s="20">
        <f t="shared" si="17"/>
        <v>29287.499999999996</v>
      </c>
      <c r="AE76" s="20">
        <f t="shared" si="3"/>
        <v>25300</v>
      </c>
      <c r="AF76" s="21">
        <f t="shared" si="4"/>
        <v>733.33333333333212</v>
      </c>
      <c r="AG76" s="23">
        <f t="shared" si="5"/>
        <v>2.6666666666666665</v>
      </c>
      <c r="AH76" s="45">
        <f t="shared" si="6"/>
        <v>29287.499999999996</v>
      </c>
      <c r="AI76" s="45">
        <f t="shared" si="7"/>
        <v>28462.500000000004</v>
      </c>
      <c r="AJ76" s="45">
        <f t="shared" si="18"/>
        <v>824.99999999999272</v>
      </c>
      <c r="AK76" s="47">
        <f>AG76/AB76</f>
        <v>0.88888888888888884</v>
      </c>
    </row>
    <row r="77" spans="1:37" x14ac:dyDescent="0.25">
      <c r="A77" s="8" t="s">
        <v>23</v>
      </c>
      <c r="C77" s="8" t="s">
        <v>101</v>
      </c>
      <c r="D77" s="8">
        <v>4</v>
      </c>
      <c r="E77" s="8">
        <v>3</v>
      </c>
      <c r="G77" s="8">
        <f t="shared" si="9"/>
        <v>7</v>
      </c>
      <c r="K77" s="8">
        <f t="shared" si="10"/>
        <v>0</v>
      </c>
      <c r="L77" s="8">
        <v>2</v>
      </c>
      <c r="M77" s="8">
        <v>1</v>
      </c>
      <c r="N77" s="8">
        <v>0</v>
      </c>
      <c r="O77" s="8">
        <f t="shared" si="11"/>
        <v>3</v>
      </c>
      <c r="P77" s="31">
        <v>1.5</v>
      </c>
      <c r="Q77" s="31">
        <v>1.25</v>
      </c>
      <c r="R77" s="66">
        <f>IF(A77='Свод по районам'!$A$11,'Свод по районам'!$G$11,0)</f>
        <v>1.3302169816672833</v>
      </c>
      <c r="S77" s="76">
        <f>ROUND(((D77*$K$7+E77*$K$8+F77*$K$9)+(H77*$AA$7+I77*$AA$8+J77*$AA$9)+(L77*'по детям'!$K$10*0.2+M77*'по детям'!$K$11*0.2+N77*'по детям'!$K$12*0.2))*P77*Q77/1.302/12,1)</f>
        <v>390.4</v>
      </c>
      <c r="T77" s="12">
        <f t="shared" si="12"/>
        <v>396.40615384615387</v>
      </c>
      <c r="U77" s="11">
        <v>314.27895000000001</v>
      </c>
      <c r="V77" s="12">
        <f t="shared" si="13"/>
        <v>76.121049999999968</v>
      </c>
      <c r="W77" s="12">
        <f t="shared" si="0"/>
        <v>76.121049999999968</v>
      </c>
      <c r="X77" s="12">
        <f t="shared" si="1"/>
        <v>0</v>
      </c>
      <c r="Y77" s="20">
        <f t="shared" si="14"/>
        <v>82.127203846153861</v>
      </c>
      <c r="Z77" s="12">
        <f t="shared" si="15"/>
        <v>82.127203846153861</v>
      </c>
      <c r="AA77" s="12">
        <f t="shared" si="16"/>
        <v>0</v>
      </c>
      <c r="AB77" s="8">
        <v>11</v>
      </c>
      <c r="AC77" s="20">
        <f t="shared" si="2"/>
        <v>35490.909090909096</v>
      </c>
      <c r="AD77" s="20">
        <f t="shared" si="17"/>
        <v>36036.923076923078</v>
      </c>
      <c r="AE77" s="20">
        <f t="shared" si="3"/>
        <v>28570.813636363637</v>
      </c>
      <c r="AF77" s="21">
        <f t="shared" si="4"/>
        <v>6920.0954545454588</v>
      </c>
      <c r="AG77" s="23">
        <f t="shared" si="5"/>
        <v>10.833333333333332</v>
      </c>
      <c r="AH77" s="20">
        <f t="shared" si="6"/>
        <v>36036.923076923078</v>
      </c>
      <c r="AI77" s="20">
        <f t="shared" si="7"/>
        <v>29010.36461538462</v>
      </c>
      <c r="AJ77" s="20">
        <f t="shared" si="18"/>
        <v>7026.5584615384578</v>
      </c>
      <c r="AK77" s="47">
        <f t="shared" si="8"/>
        <v>0.98484848484848475</v>
      </c>
    </row>
    <row r="78" spans="1:37" x14ac:dyDescent="0.25">
      <c r="A78" s="8" t="s">
        <v>23</v>
      </c>
      <c r="C78" s="8" t="s">
        <v>102</v>
      </c>
      <c r="D78" s="8">
        <v>4</v>
      </c>
      <c r="E78" s="8">
        <v>4</v>
      </c>
      <c r="F78" s="8">
        <v>1</v>
      </c>
      <c r="G78" s="8">
        <f t="shared" si="9"/>
        <v>9</v>
      </c>
      <c r="K78" s="8">
        <f t="shared" si="10"/>
        <v>0</v>
      </c>
      <c r="L78" s="8">
        <v>0</v>
      </c>
      <c r="M78" s="8">
        <v>0</v>
      </c>
      <c r="N78" s="8">
        <v>0</v>
      </c>
      <c r="O78" s="8">
        <f t="shared" si="11"/>
        <v>0</v>
      </c>
      <c r="P78" s="31">
        <v>1.5</v>
      </c>
      <c r="Q78" s="31">
        <v>1.25</v>
      </c>
      <c r="R78" s="66">
        <f>IF(A78='Свод по районам'!$A$11,'Свод по районам'!$G$11,0)</f>
        <v>1.3302169816672833</v>
      </c>
      <c r="S78" s="76">
        <f>ROUND(((D78*$K$7+E78*$K$8+F78*$K$9)+(H78*$AA$7+I78*$AA$8+J78*$AA$9)+(L78*'по детям'!$K$10*0.2+M78*'по детям'!$K$11*0.2+N78*'по детям'!$K$12*0.2))*P78*Q78/1.302/12,1)</f>
        <v>525.70000000000005</v>
      </c>
      <c r="T78" s="12">
        <f t="shared" si="12"/>
        <v>465.96136363636367</v>
      </c>
      <c r="U78" s="11">
        <v>366.98728</v>
      </c>
      <c r="V78" s="12">
        <f t="shared" si="13"/>
        <v>158.71272000000005</v>
      </c>
      <c r="W78" s="12">
        <f t="shared" si="0"/>
        <v>158.71272000000005</v>
      </c>
      <c r="X78" s="12">
        <f t="shared" si="1"/>
        <v>0</v>
      </c>
      <c r="Y78" s="20">
        <f t="shared" si="14"/>
        <v>98.974083636363673</v>
      </c>
      <c r="Z78" s="12">
        <f t="shared" si="15"/>
        <v>98.974083636363673</v>
      </c>
      <c r="AA78" s="12">
        <f t="shared" si="16"/>
        <v>0</v>
      </c>
      <c r="AB78" s="8">
        <v>13</v>
      </c>
      <c r="AC78" s="20">
        <f t="shared" si="2"/>
        <v>40438.461538461539</v>
      </c>
      <c r="AD78" s="20">
        <f t="shared" si="17"/>
        <v>35843.181818181816</v>
      </c>
      <c r="AE78" s="20">
        <f t="shared" si="3"/>
        <v>28229.790769230767</v>
      </c>
      <c r="AF78" s="21">
        <f t="shared" si="4"/>
        <v>12208.670769230772</v>
      </c>
      <c r="AG78" s="23">
        <f t="shared" si="5"/>
        <v>14.666666666666666</v>
      </c>
      <c r="AH78" s="20">
        <f t="shared" si="6"/>
        <v>35843.181818181823</v>
      </c>
      <c r="AI78" s="20">
        <f t="shared" si="7"/>
        <v>25021.86</v>
      </c>
      <c r="AJ78" s="20">
        <f t="shared" si="18"/>
        <v>10821.321818181823</v>
      </c>
      <c r="AK78" s="47">
        <f t="shared" si="8"/>
        <v>1.1282051282051282</v>
      </c>
    </row>
    <row r="79" spans="1:37" x14ac:dyDescent="0.25">
      <c r="A79" s="8" t="s">
        <v>23</v>
      </c>
      <c r="C79" s="8" t="s">
        <v>103</v>
      </c>
      <c r="D79" s="8">
        <v>4</v>
      </c>
      <c r="E79" s="8">
        <v>3</v>
      </c>
      <c r="F79" s="8">
        <v>1</v>
      </c>
      <c r="G79" s="8">
        <f t="shared" si="9"/>
        <v>8</v>
      </c>
      <c r="H79" s="8">
        <v>1</v>
      </c>
      <c r="K79" s="8">
        <f t="shared" si="10"/>
        <v>1</v>
      </c>
      <c r="L79" s="8">
        <v>0</v>
      </c>
      <c r="M79" s="8">
        <v>0</v>
      </c>
      <c r="N79" s="8">
        <v>0</v>
      </c>
      <c r="O79" s="8">
        <f t="shared" si="11"/>
        <v>0</v>
      </c>
      <c r="P79" s="31">
        <v>1.5</v>
      </c>
      <c r="Q79" s="31">
        <v>1.25</v>
      </c>
      <c r="R79" s="66">
        <f>IF(A79='Свод по районам'!$A$11,'Свод по районам'!$G$11,0)</f>
        <v>1.3302169816672833</v>
      </c>
      <c r="S79" s="76">
        <f>ROUND(((D79*$K$7+E79*$K$8+F79*$K$9)+(H79*$AA$7+I79*$AA$8+J79*$AA$9)+(L79*'по детям'!$K$10*0.2+M79*'по детям'!$K$11*0.2+N79*'по детям'!$K$12*0.2))*P79*Q79/1.302/12,1)</f>
        <v>472</v>
      </c>
      <c r="T79" s="12">
        <f t="shared" si="12"/>
        <v>319.93305439330544</v>
      </c>
      <c r="U79" s="11">
        <v>373.75092999999998</v>
      </c>
      <c r="V79" s="12">
        <f t="shared" si="13"/>
        <v>98.249070000000017</v>
      </c>
      <c r="W79" s="12">
        <f t="shared" ref="W79:W142" si="27">IF(V79&gt;0,V79,0)</f>
        <v>98.249070000000017</v>
      </c>
      <c r="X79" s="12">
        <f t="shared" ref="X79:X142" si="28">IF(V79&lt;0,V79,0)</f>
        <v>0</v>
      </c>
      <c r="Y79" s="20">
        <f t="shared" si="14"/>
        <v>-53.817875606694543</v>
      </c>
      <c r="Z79" s="12">
        <f t="shared" si="15"/>
        <v>0</v>
      </c>
      <c r="AA79" s="12">
        <f t="shared" si="16"/>
        <v>-53.817875606694543</v>
      </c>
      <c r="AB79" s="8">
        <v>9</v>
      </c>
      <c r="AC79" s="20">
        <f t="shared" ref="AC79:AC142" si="29">S79/AB79*1000</f>
        <v>52444.444444444445</v>
      </c>
      <c r="AD79" s="20">
        <f t="shared" si="17"/>
        <v>35548.117154811713</v>
      </c>
      <c r="AE79" s="20">
        <f t="shared" ref="AE79:AE142" si="30">U79/AB79*1000</f>
        <v>41527.881111111106</v>
      </c>
      <c r="AF79" s="21">
        <f t="shared" ref="AF79:AF142" si="31">AC79-AE79</f>
        <v>10916.563333333339</v>
      </c>
      <c r="AG79" s="23">
        <f t="shared" ref="AG79:AG142" si="32">(D79*$F$7+E79*$F$8+F79*$F$9)+(H79*$V$7+I79*$V$8+J79*$V$9)</f>
        <v>13.277777777777777</v>
      </c>
      <c r="AH79" s="20">
        <f t="shared" ref="AH79:AH142" si="33">S79/AG79*1000</f>
        <v>35548.11715481172</v>
      </c>
      <c r="AI79" s="20">
        <f t="shared" ref="AI79:AI142" si="34">U79/AG79*1000</f>
        <v>28148.605606694564</v>
      </c>
      <c r="AJ79" s="20">
        <f t="shared" si="18"/>
        <v>7399.5115481171561</v>
      </c>
      <c r="AK79" s="47">
        <f t="shared" ref="AK79:AK142" si="35">AG79/AB79</f>
        <v>1.4753086419753085</v>
      </c>
    </row>
    <row r="80" spans="1:37" x14ac:dyDescent="0.25">
      <c r="A80" s="8" t="s">
        <v>23</v>
      </c>
      <c r="C80" s="8" t="s">
        <v>104</v>
      </c>
      <c r="D80" s="8">
        <v>4</v>
      </c>
      <c r="E80" s="8">
        <v>4</v>
      </c>
      <c r="F80" s="8">
        <v>1</v>
      </c>
      <c r="G80" s="8">
        <f t="shared" ref="G80:G143" si="36">SUM(D80:F80)</f>
        <v>9</v>
      </c>
      <c r="K80" s="8">
        <f t="shared" ref="K80:K143" si="37">H80+I80+J80</f>
        <v>0</v>
      </c>
      <c r="L80" s="8">
        <v>3</v>
      </c>
      <c r="M80" s="8">
        <v>0</v>
      </c>
      <c r="N80" s="8">
        <v>0</v>
      </c>
      <c r="O80" s="8">
        <f t="shared" ref="O80:O143" si="38">L80+M80+N80</f>
        <v>3</v>
      </c>
      <c r="P80" s="31">
        <v>1.5</v>
      </c>
      <c r="Q80" s="31">
        <v>1.25</v>
      </c>
      <c r="R80" s="66">
        <f>IF(A80='Свод по районам'!$A$11,'Свод по районам'!$G$11,0)</f>
        <v>1.3302169816672833</v>
      </c>
      <c r="S80" s="76">
        <f>ROUND(((D80*$K$7+E80*$K$8+F80*$K$9)+(H80*$AA$7+I80*$AA$8+J80*$AA$9)+(L80*'по детям'!$K$10*0.2+M80*'по детям'!$K$11*0.2+N80*'по детям'!$K$12*0.2))*P80*Q80/1.302/12,1)</f>
        <v>527</v>
      </c>
      <c r="T80" s="12">
        <f t="shared" ref="T80:T143" si="39">S80/AK80</f>
        <v>485.0795454545455</v>
      </c>
      <c r="U80" s="11">
        <v>358.78687000000002</v>
      </c>
      <c r="V80" s="12">
        <f t="shared" ref="V80:V143" si="40">S80-U80</f>
        <v>168.21312999999998</v>
      </c>
      <c r="W80" s="12">
        <f t="shared" si="27"/>
        <v>168.21312999999998</v>
      </c>
      <c r="X80" s="12">
        <f t="shared" si="28"/>
        <v>0</v>
      </c>
      <c r="Y80" s="20">
        <f t="shared" ref="Y80:Y143" si="41">T80-U80</f>
        <v>126.29267545454547</v>
      </c>
      <c r="Z80" s="12">
        <f t="shared" ref="Z80:Z143" si="42">IF(Y80&gt;0,Y80,0)</f>
        <v>126.29267545454547</v>
      </c>
      <c r="AA80" s="12">
        <f t="shared" ref="AA80:AA143" si="43">IF(Y80&lt;0,Y80,0)</f>
        <v>0</v>
      </c>
      <c r="AB80" s="8">
        <v>13.5</v>
      </c>
      <c r="AC80" s="20">
        <f t="shared" si="29"/>
        <v>39037.037037037036</v>
      </c>
      <c r="AD80" s="20">
        <f t="shared" ref="AD80:AD143" si="44">T80/AB80*1000</f>
        <v>35931.818181818184</v>
      </c>
      <c r="AE80" s="20">
        <f t="shared" si="30"/>
        <v>26576.805185185185</v>
      </c>
      <c r="AF80" s="21">
        <f t="shared" si="31"/>
        <v>12460.231851851851</v>
      </c>
      <c r="AG80" s="23">
        <f t="shared" si="32"/>
        <v>14.666666666666666</v>
      </c>
      <c r="AH80" s="20">
        <f t="shared" si="33"/>
        <v>35931.818181818177</v>
      </c>
      <c r="AI80" s="20">
        <f t="shared" si="34"/>
        <v>24462.741136363638</v>
      </c>
      <c r="AJ80" s="20">
        <f t="shared" ref="AJ80:AJ143" si="45">AH80-AI80</f>
        <v>11469.077045454538</v>
      </c>
      <c r="AK80" s="47">
        <f t="shared" si="35"/>
        <v>1.0864197530864197</v>
      </c>
    </row>
    <row r="81" spans="1:37" x14ac:dyDescent="0.25">
      <c r="A81" s="8" t="s">
        <v>23</v>
      </c>
      <c r="C81" s="8" t="s">
        <v>105</v>
      </c>
      <c r="D81" s="8">
        <v>4</v>
      </c>
      <c r="E81" s="8">
        <v>5</v>
      </c>
      <c r="F81" s="8">
        <v>1</v>
      </c>
      <c r="G81" s="8">
        <f t="shared" si="36"/>
        <v>10</v>
      </c>
      <c r="K81" s="8">
        <f t="shared" si="37"/>
        <v>0</v>
      </c>
      <c r="L81" s="8">
        <v>2</v>
      </c>
      <c r="M81" s="8">
        <v>2</v>
      </c>
      <c r="N81" s="8">
        <v>0</v>
      </c>
      <c r="O81" s="8">
        <f t="shared" si="38"/>
        <v>4</v>
      </c>
      <c r="P81" s="31">
        <v>1.5</v>
      </c>
      <c r="Q81" s="31">
        <v>1.25</v>
      </c>
      <c r="R81" s="66">
        <f>IF(A81='Свод по районам'!$A$11,'Свод по районам'!$G$11,0)</f>
        <v>1.3302169816672833</v>
      </c>
      <c r="S81" s="76">
        <f>ROUND(((D81*$K$7+E81*$K$8+F81*$K$9)+(H81*$AA$7+I81*$AA$8+J81*$AA$9)+(L81*'по детям'!$K$10*0.2+M81*'по детям'!$K$11*0.2+N81*'по детям'!$K$12*0.2))*P81*Q81/1.302/12,1)</f>
        <v>593.29999999999995</v>
      </c>
      <c r="T81" s="12">
        <f t="shared" si="39"/>
        <v>431.49090909090904</v>
      </c>
      <c r="U81" s="11">
        <v>423.98189000000002</v>
      </c>
      <c r="V81" s="12">
        <f t="shared" si="40"/>
        <v>169.31810999999993</v>
      </c>
      <c r="W81" s="12">
        <f t="shared" si="27"/>
        <v>169.31810999999993</v>
      </c>
      <c r="X81" s="12">
        <f t="shared" si="28"/>
        <v>0</v>
      </c>
      <c r="Y81" s="20">
        <f t="shared" si="41"/>
        <v>7.5090190909090211</v>
      </c>
      <c r="Z81" s="12">
        <f t="shared" si="42"/>
        <v>7.5090190909090211</v>
      </c>
      <c r="AA81" s="12">
        <f t="shared" si="43"/>
        <v>0</v>
      </c>
      <c r="AB81" s="8">
        <v>12</v>
      </c>
      <c r="AC81" s="20">
        <f t="shared" si="29"/>
        <v>49441.666666666664</v>
      </c>
      <c r="AD81" s="20">
        <f t="shared" si="44"/>
        <v>35957.575757575753</v>
      </c>
      <c r="AE81" s="20">
        <f t="shared" si="30"/>
        <v>35331.824166666673</v>
      </c>
      <c r="AF81" s="21">
        <f t="shared" si="31"/>
        <v>14109.842499999992</v>
      </c>
      <c r="AG81" s="23">
        <f t="shared" si="32"/>
        <v>16.5</v>
      </c>
      <c r="AH81" s="20">
        <f t="shared" si="33"/>
        <v>35957.575757575753</v>
      </c>
      <c r="AI81" s="20">
        <f t="shared" si="34"/>
        <v>25695.872121212124</v>
      </c>
      <c r="AJ81" s="20">
        <f t="shared" si="45"/>
        <v>10261.703636363629</v>
      </c>
      <c r="AK81" s="47">
        <f t="shared" si="35"/>
        <v>1.375</v>
      </c>
    </row>
    <row r="82" spans="1:37" x14ac:dyDescent="0.25">
      <c r="A82" s="8" t="s">
        <v>23</v>
      </c>
      <c r="B82" s="8" t="s">
        <v>263</v>
      </c>
      <c r="C82" s="8" t="s">
        <v>106</v>
      </c>
      <c r="D82" s="8">
        <v>3</v>
      </c>
      <c r="E82" s="8">
        <v>4</v>
      </c>
      <c r="F82" s="8">
        <v>1</v>
      </c>
      <c r="G82" s="8">
        <f t="shared" si="36"/>
        <v>8</v>
      </c>
      <c r="K82" s="8">
        <f t="shared" si="37"/>
        <v>0</v>
      </c>
      <c r="L82" s="8">
        <v>2</v>
      </c>
      <c r="M82" s="8">
        <v>2</v>
      </c>
      <c r="N82" s="8">
        <v>0</v>
      </c>
      <c r="O82" s="8">
        <f t="shared" si="38"/>
        <v>4</v>
      </c>
      <c r="P82" s="31">
        <v>1.5</v>
      </c>
      <c r="Q82" s="31">
        <v>1.25</v>
      </c>
      <c r="R82" s="66">
        <f>IF(A82='Свод по районам'!$A$11,'Свод по районам'!$G$11,0)</f>
        <v>1.3302169816672833</v>
      </c>
      <c r="S82" s="76">
        <f>ROUND(((D82*$K$7+E82*$K$8+F82*$K$9)+(H82*$AA$7+I82*$AA$8+J82*$AA$9)+(L82*'по детям'!$K$10*0.2+M82*'по детям'!$K$11*0.2+N82*'по детям'!$K$12*0.2))*P82*Q82/1.302/12,1)</f>
        <v>479.7</v>
      </c>
      <c r="T82" s="12">
        <f t="shared" si="39"/>
        <v>395.75250000000005</v>
      </c>
      <c r="U82" s="11">
        <v>357.72449999999998</v>
      </c>
      <c r="V82" s="12">
        <f t="shared" si="40"/>
        <v>121.97550000000001</v>
      </c>
      <c r="W82" s="12">
        <f t="shared" si="27"/>
        <v>121.97550000000001</v>
      </c>
      <c r="X82" s="12">
        <f t="shared" si="28"/>
        <v>0</v>
      </c>
      <c r="Y82" s="20">
        <f t="shared" si="41"/>
        <v>38.028000000000077</v>
      </c>
      <c r="Z82" s="12">
        <f t="shared" si="42"/>
        <v>38.028000000000077</v>
      </c>
      <c r="AA82" s="12">
        <f t="shared" si="43"/>
        <v>0</v>
      </c>
      <c r="AB82" s="8">
        <v>11</v>
      </c>
      <c r="AC82" s="20">
        <f t="shared" si="29"/>
        <v>43609.090909090912</v>
      </c>
      <c r="AD82" s="20">
        <f t="shared" si="44"/>
        <v>35977.500000000007</v>
      </c>
      <c r="AE82" s="20">
        <f t="shared" si="30"/>
        <v>32520.409090909092</v>
      </c>
      <c r="AF82" s="21">
        <f t="shared" si="31"/>
        <v>11088.68181818182</v>
      </c>
      <c r="AG82" s="23">
        <f t="shared" si="32"/>
        <v>13.333333333333332</v>
      </c>
      <c r="AH82" s="20">
        <f t="shared" si="33"/>
        <v>35977.5</v>
      </c>
      <c r="AI82" s="20">
        <f t="shared" si="34"/>
        <v>26829.337500000001</v>
      </c>
      <c r="AJ82" s="20">
        <f t="shared" si="45"/>
        <v>9148.1624999999985</v>
      </c>
      <c r="AK82" s="47">
        <f t="shared" si="35"/>
        <v>1.2121212121212119</v>
      </c>
    </row>
    <row r="83" spans="1:37" x14ac:dyDescent="0.25">
      <c r="A83" s="8" t="s">
        <v>23</v>
      </c>
      <c r="C83" s="8" t="s">
        <v>107</v>
      </c>
      <c r="D83" s="8">
        <v>3</v>
      </c>
      <c r="E83" s="8">
        <v>3</v>
      </c>
      <c r="G83" s="8">
        <f t="shared" si="36"/>
        <v>6</v>
      </c>
      <c r="K83" s="8">
        <f t="shared" si="37"/>
        <v>0</v>
      </c>
      <c r="L83" s="8">
        <v>1</v>
      </c>
      <c r="M83" s="8">
        <v>0</v>
      </c>
      <c r="N83" s="8">
        <v>0</v>
      </c>
      <c r="O83" s="8">
        <f t="shared" si="38"/>
        <v>1</v>
      </c>
      <c r="P83" s="31">
        <v>1.5</v>
      </c>
      <c r="Q83" s="31">
        <v>1.25</v>
      </c>
      <c r="R83" s="66">
        <f>IF(A83='Свод по районам'!$A$11,'Свод по районам'!$G$11,0)</f>
        <v>1.3302169816672833</v>
      </c>
      <c r="S83" s="76">
        <f>ROUND(((D83*$K$7+E83*$K$8+F83*$K$9)+(H83*$AA$7+I83*$AA$8+J83*$AA$9)+(L83*'по детям'!$K$10*0.2+M83*'по детям'!$K$11*0.2+N83*'по детям'!$K$12*0.2))*P83*Q83/1.302/12,1)</f>
        <v>341.2</v>
      </c>
      <c r="T83" s="12">
        <f t="shared" si="39"/>
        <v>251.41052631578944</v>
      </c>
      <c r="U83" s="11">
        <v>217.49607</v>
      </c>
      <c r="V83" s="12">
        <f t="shared" si="40"/>
        <v>123.70392999999999</v>
      </c>
      <c r="W83" s="12">
        <f t="shared" si="27"/>
        <v>123.70392999999999</v>
      </c>
      <c r="X83" s="12">
        <f t="shared" si="28"/>
        <v>0</v>
      </c>
      <c r="Y83" s="20">
        <f t="shared" si="41"/>
        <v>33.914456315789437</v>
      </c>
      <c r="Z83" s="12">
        <f t="shared" si="42"/>
        <v>33.914456315789437</v>
      </c>
      <c r="AA83" s="12">
        <f t="shared" si="43"/>
        <v>0</v>
      </c>
      <c r="AB83" s="8">
        <v>7</v>
      </c>
      <c r="AC83" s="20">
        <f t="shared" si="29"/>
        <v>48742.857142857138</v>
      </c>
      <c r="AD83" s="20">
        <f t="shared" si="44"/>
        <v>35915.789473684206</v>
      </c>
      <c r="AE83" s="20">
        <f t="shared" si="30"/>
        <v>31070.867142857143</v>
      </c>
      <c r="AF83" s="21">
        <f t="shared" si="31"/>
        <v>17671.989999999994</v>
      </c>
      <c r="AG83" s="23">
        <f t="shared" si="32"/>
        <v>9.5</v>
      </c>
      <c r="AH83" s="20">
        <f t="shared" si="33"/>
        <v>35915.789473684206</v>
      </c>
      <c r="AI83" s="20">
        <f t="shared" si="34"/>
        <v>22894.323157894734</v>
      </c>
      <c r="AJ83" s="20">
        <f t="shared" si="45"/>
        <v>13021.466315789472</v>
      </c>
      <c r="AK83" s="47">
        <f t="shared" si="35"/>
        <v>1.3571428571428572</v>
      </c>
    </row>
    <row r="84" spans="1:37" x14ac:dyDescent="0.25">
      <c r="A84" s="8" t="s">
        <v>24</v>
      </c>
      <c r="B84" s="8" t="s">
        <v>263</v>
      </c>
      <c r="C84" s="8" t="s">
        <v>108</v>
      </c>
      <c r="D84" s="8">
        <v>2</v>
      </c>
      <c r="G84" s="8">
        <f t="shared" si="36"/>
        <v>2</v>
      </c>
      <c r="K84" s="8">
        <f t="shared" si="37"/>
        <v>0</v>
      </c>
      <c r="L84" s="8">
        <v>0</v>
      </c>
      <c r="M84" s="8">
        <v>0</v>
      </c>
      <c r="N84" s="8">
        <v>0</v>
      </c>
      <c r="O84" s="8">
        <f t="shared" si="38"/>
        <v>0</v>
      </c>
      <c r="P84" s="31">
        <v>1.5</v>
      </c>
      <c r="Q84" s="31">
        <v>1.25</v>
      </c>
      <c r="R84" s="66">
        <f>IF(A84='Свод по районам'!$A$12,'Свод по районам'!$G$12,0)</f>
        <v>1.6163696773289624</v>
      </c>
      <c r="S84" s="76">
        <f>ROUND(((D84*$K$7+E84*$K$8+F84*$K$9)+(H84*$AA$7+I84*$AA$8+J84*$AA$9)+(L84*'по детям'!$K$10*0.2+M84*'по детям'!$K$11*0.2+N84*'по детям'!$K$12*0.2))*P84*Q84/1.302/12,1)</f>
        <v>96.3</v>
      </c>
      <c r="T84" s="12">
        <f t="shared" si="39"/>
        <v>79.447500000000005</v>
      </c>
      <c r="U84" s="11">
        <v>75.430199999999999</v>
      </c>
      <c r="V84" s="12">
        <f t="shared" si="40"/>
        <v>20.869799999999998</v>
      </c>
      <c r="W84" s="12">
        <f t="shared" si="27"/>
        <v>20.869799999999998</v>
      </c>
      <c r="X84" s="12">
        <f t="shared" si="28"/>
        <v>0</v>
      </c>
      <c r="Y84" s="20">
        <f t="shared" si="41"/>
        <v>4.0173000000000059</v>
      </c>
      <c r="Z84" s="12">
        <f t="shared" si="42"/>
        <v>4.0173000000000059</v>
      </c>
      <c r="AA84" s="12">
        <f t="shared" si="43"/>
        <v>0</v>
      </c>
      <c r="AB84" s="8">
        <v>2.2000000000000002</v>
      </c>
      <c r="AC84" s="20">
        <f t="shared" si="29"/>
        <v>43772.727272727265</v>
      </c>
      <c r="AD84" s="20">
        <f t="shared" si="44"/>
        <v>36112.5</v>
      </c>
      <c r="AE84" s="20">
        <f t="shared" si="30"/>
        <v>34286.454545454537</v>
      </c>
      <c r="AF84" s="21">
        <f t="shared" si="31"/>
        <v>9486.2727272727279</v>
      </c>
      <c r="AG84" s="23">
        <f t="shared" si="32"/>
        <v>2.6666666666666665</v>
      </c>
      <c r="AH84" s="20">
        <f t="shared" si="33"/>
        <v>36112.500000000007</v>
      </c>
      <c r="AI84" s="20">
        <f t="shared" si="34"/>
        <v>28286.325000000001</v>
      </c>
      <c r="AJ84" s="20">
        <f t="shared" si="45"/>
        <v>7826.1750000000065</v>
      </c>
      <c r="AK84" s="47">
        <f t="shared" si="35"/>
        <v>1.2121212121212119</v>
      </c>
    </row>
    <row r="85" spans="1:37" x14ac:dyDescent="0.25">
      <c r="A85" s="8" t="s">
        <v>24</v>
      </c>
      <c r="B85" s="8" t="s">
        <v>263</v>
      </c>
      <c r="C85" s="8" t="s">
        <v>109</v>
      </c>
      <c r="D85" s="8">
        <v>1</v>
      </c>
      <c r="E85" s="8">
        <v>2</v>
      </c>
      <c r="F85" s="8">
        <v>1</v>
      </c>
      <c r="G85" s="8">
        <f t="shared" si="36"/>
        <v>4</v>
      </c>
      <c r="K85" s="8">
        <f t="shared" si="37"/>
        <v>0</v>
      </c>
      <c r="L85" s="8">
        <v>0</v>
      </c>
      <c r="M85" s="8">
        <v>0</v>
      </c>
      <c r="N85" s="8">
        <v>0</v>
      </c>
      <c r="O85" s="8">
        <f t="shared" si="38"/>
        <v>0</v>
      </c>
      <c r="P85" s="31">
        <v>1.5</v>
      </c>
      <c r="Q85" s="31">
        <v>1.25</v>
      </c>
      <c r="R85" s="66">
        <f>IF(A85='Свод по районам'!$A$12,'Свод по районам'!$G$12,0)</f>
        <v>1.6163696773289624</v>
      </c>
      <c r="S85" s="76">
        <f>ROUND(((D85*$K$7+E85*$K$8+F85*$K$9)+(H85*$AA$7+I85*$AA$8+J85*$AA$9)+(L85*'по детям'!$K$10*0.2+M85*'по детям'!$K$11*0.2+N85*'по детям'!$K$12*0.2))*P85*Q85/1.302/12,1)</f>
        <v>250.3</v>
      </c>
      <c r="T85" s="12">
        <f t="shared" si="39"/>
        <v>175.21000000000004</v>
      </c>
      <c r="U85" s="11">
        <v>181.91744</v>
      </c>
      <c r="V85" s="12">
        <f t="shared" si="40"/>
        <v>68.382560000000012</v>
      </c>
      <c r="W85" s="12">
        <f t="shared" si="27"/>
        <v>68.382560000000012</v>
      </c>
      <c r="X85" s="12">
        <f t="shared" si="28"/>
        <v>0</v>
      </c>
      <c r="Y85" s="20">
        <f t="shared" si="41"/>
        <v>-6.7074399999999628</v>
      </c>
      <c r="Z85" s="12">
        <f t="shared" si="42"/>
        <v>0</v>
      </c>
      <c r="AA85" s="12">
        <f t="shared" si="43"/>
        <v>-6.7074399999999628</v>
      </c>
      <c r="AB85" s="8">
        <v>4.9000000000000004</v>
      </c>
      <c r="AC85" s="20">
        <f t="shared" si="29"/>
        <v>51081.63265306122</v>
      </c>
      <c r="AD85" s="20">
        <f t="shared" si="44"/>
        <v>35757.142857142862</v>
      </c>
      <c r="AE85" s="20">
        <f t="shared" si="30"/>
        <v>37126.008163265302</v>
      </c>
      <c r="AF85" s="21">
        <f t="shared" si="31"/>
        <v>13955.624489795919</v>
      </c>
      <c r="AG85" s="23">
        <f t="shared" si="32"/>
        <v>7</v>
      </c>
      <c r="AH85" s="20">
        <f t="shared" si="33"/>
        <v>35757.142857142862</v>
      </c>
      <c r="AI85" s="20">
        <f t="shared" si="34"/>
        <v>25988.205714285716</v>
      </c>
      <c r="AJ85" s="20">
        <f t="shared" si="45"/>
        <v>9768.9371428571467</v>
      </c>
      <c r="AK85" s="47">
        <f t="shared" si="35"/>
        <v>1.4285714285714284</v>
      </c>
    </row>
    <row r="86" spans="1:37" x14ac:dyDescent="0.25">
      <c r="A86" s="8" t="s">
        <v>24</v>
      </c>
      <c r="B86" s="8" t="s">
        <v>263</v>
      </c>
      <c r="C86" s="8" t="s">
        <v>110</v>
      </c>
      <c r="D86" s="8">
        <v>2</v>
      </c>
      <c r="E86" s="8">
        <v>3</v>
      </c>
      <c r="G86" s="8">
        <f t="shared" si="36"/>
        <v>5</v>
      </c>
      <c r="K86" s="8">
        <f t="shared" si="37"/>
        <v>0</v>
      </c>
      <c r="L86" s="8">
        <v>0</v>
      </c>
      <c r="M86" s="8">
        <v>0</v>
      </c>
      <c r="N86" s="8">
        <v>0</v>
      </c>
      <c r="O86" s="8">
        <f t="shared" si="38"/>
        <v>0</v>
      </c>
      <c r="P86" s="31">
        <v>1.5</v>
      </c>
      <c r="Q86" s="31">
        <v>1.25</v>
      </c>
      <c r="R86" s="66">
        <f>IF(A86='Свод по районам'!$A$12,'Свод по районам'!$G$12,0)</f>
        <v>1.6163696773289624</v>
      </c>
      <c r="S86" s="76">
        <f>ROUND(((D86*$K$7+E86*$K$8+F86*$K$9)+(H86*$AA$7+I86*$AA$8+J86*$AA$9)+(L86*'по детям'!$K$10*0.2+M86*'по детям'!$K$11*0.2+N86*'по детям'!$K$12*0.2))*P86*Q86/1.302/12,1)</f>
        <v>292.60000000000002</v>
      </c>
      <c r="T86" s="12">
        <f t="shared" si="39"/>
        <v>240.0514285714286</v>
      </c>
      <c r="U86" s="11">
        <v>170.77970999999999</v>
      </c>
      <c r="V86" s="12">
        <f t="shared" si="40"/>
        <v>121.82029000000003</v>
      </c>
      <c r="W86" s="12">
        <f t="shared" si="27"/>
        <v>121.82029000000003</v>
      </c>
      <c r="X86" s="12">
        <f t="shared" si="28"/>
        <v>0</v>
      </c>
      <c r="Y86" s="20">
        <f t="shared" si="41"/>
        <v>69.271718571428607</v>
      </c>
      <c r="Z86" s="12">
        <f t="shared" si="42"/>
        <v>69.271718571428607</v>
      </c>
      <c r="AA86" s="12">
        <f t="shared" si="43"/>
        <v>0</v>
      </c>
      <c r="AB86" s="8">
        <v>6.7</v>
      </c>
      <c r="AC86" s="20">
        <f t="shared" si="29"/>
        <v>43671.641791044778</v>
      </c>
      <c r="AD86" s="20">
        <f t="shared" si="44"/>
        <v>35828.571428571428</v>
      </c>
      <c r="AE86" s="20">
        <f t="shared" si="30"/>
        <v>25489.508955223879</v>
      </c>
      <c r="AF86" s="21">
        <f t="shared" si="31"/>
        <v>18182.132835820899</v>
      </c>
      <c r="AG86" s="23">
        <f t="shared" si="32"/>
        <v>8.1666666666666661</v>
      </c>
      <c r="AH86" s="20">
        <f t="shared" si="33"/>
        <v>35828.571428571435</v>
      </c>
      <c r="AI86" s="20">
        <f t="shared" si="34"/>
        <v>20911.801224489795</v>
      </c>
      <c r="AJ86" s="20">
        <f t="shared" si="45"/>
        <v>14916.77020408164</v>
      </c>
      <c r="AK86" s="47">
        <f t="shared" si="35"/>
        <v>1.2189054726368158</v>
      </c>
    </row>
    <row r="87" spans="1:37" x14ac:dyDescent="0.25">
      <c r="A87" s="8" t="s">
        <v>24</v>
      </c>
      <c r="C87" s="8" t="s">
        <v>111</v>
      </c>
      <c r="D87" s="8">
        <v>4</v>
      </c>
      <c r="E87" s="8">
        <v>5</v>
      </c>
      <c r="F87" s="8">
        <v>2</v>
      </c>
      <c r="G87" s="8">
        <f t="shared" si="36"/>
        <v>11</v>
      </c>
      <c r="K87" s="8">
        <f t="shared" si="37"/>
        <v>0</v>
      </c>
      <c r="L87" s="8">
        <v>0</v>
      </c>
      <c r="M87" s="8">
        <v>0</v>
      </c>
      <c r="N87" s="8">
        <v>0</v>
      </c>
      <c r="O87" s="8">
        <f t="shared" si="38"/>
        <v>0</v>
      </c>
      <c r="P87" s="31">
        <v>1.5</v>
      </c>
      <c r="Q87" s="31">
        <v>1.25</v>
      </c>
      <c r="R87" s="66">
        <f>IF(A87='Свод по районам'!$A$12,'Свод по районам'!$G$12,0)</f>
        <v>1.6163696773289624</v>
      </c>
      <c r="S87" s="76">
        <f>ROUND(((D87*$K$7+E87*$K$8+F87*$K$9)+(H87*$AA$7+I87*$AA$8+J87*$AA$9)+(L87*'по детям'!$K$10*0.2+M87*'по детям'!$K$11*0.2+N87*'по детям'!$K$12*0.2))*P87*Q87/1.302/12,1)</f>
        <v>662.4</v>
      </c>
      <c r="T87" s="12">
        <f t="shared" si="39"/>
        <v>447.56756756756755</v>
      </c>
      <c r="U87" s="11">
        <v>343.59741000000002</v>
      </c>
      <c r="V87" s="12">
        <f t="shared" si="40"/>
        <v>318.80258999999995</v>
      </c>
      <c r="W87" s="12">
        <f t="shared" si="27"/>
        <v>318.80258999999995</v>
      </c>
      <c r="X87" s="12">
        <f t="shared" si="28"/>
        <v>0</v>
      </c>
      <c r="Y87" s="20">
        <f t="shared" si="41"/>
        <v>103.97015756756753</v>
      </c>
      <c r="Z87" s="12">
        <f t="shared" si="42"/>
        <v>103.97015756756753</v>
      </c>
      <c r="AA87" s="12">
        <f t="shared" si="43"/>
        <v>0</v>
      </c>
      <c r="AB87" s="8">
        <v>12.5</v>
      </c>
      <c r="AC87" s="20">
        <f t="shared" si="29"/>
        <v>52992</v>
      </c>
      <c r="AD87" s="20">
        <f t="shared" si="44"/>
        <v>35805.4054054054</v>
      </c>
      <c r="AE87" s="20">
        <f t="shared" si="30"/>
        <v>27487.792800000003</v>
      </c>
      <c r="AF87" s="21">
        <f t="shared" si="31"/>
        <v>25504.207199999997</v>
      </c>
      <c r="AG87" s="23">
        <f t="shared" si="32"/>
        <v>18.5</v>
      </c>
      <c r="AH87" s="20">
        <f t="shared" si="33"/>
        <v>35805.4054054054</v>
      </c>
      <c r="AI87" s="20">
        <f t="shared" si="34"/>
        <v>18572.832972972974</v>
      </c>
      <c r="AJ87" s="20">
        <f t="shared" si="45"/>
        <v>17232.572432432426</v>
      </c>
      <c r="AK87" s="47">
        <f t="shared" si="35"/>
        <v>1.48</v>
      </c>
    </row>
    <row r="88" spans="1:37" x14ac:dyDescent="0.25">
      <c r="A88" s="8" t="s">
        <v>24</v>
      </c>
      <c r="B88" s="8" t="s">
        <v>263</v>
      </c>
      <c r="C88" s="8" t="s">
        <v>112</v>
      </c>
      <c r="D88" s="8">
        <v>2</v>
      </c>
      <c r="E88" s="8">
        <v>2</v>
      </c>
      <c r="F88" s="8">
        <v>1</v>
      </c>
      <c r="G88" s="8">
        <f t="shared" si="36"/>
        <v>5</v>
      </c>
      <c r="K88" s="8">
        <f t="shared" si="37"/>
        <v>0</v>
      </c>
      <c r="L88" s="8">
        <v>0</v>
      </c>
      <c r="M88" s="8">
        <v>0</v>
      </c>
      <c r="N88" s="8">
        <v>0</v>
      </c>
      <c r="O88" s="8">
        <f t="shared" si="38"/>
        <v>0</v>
      </c>
      <c r="P88" s="31">
        <v>1.5</v>
      </c>
      <c r="Q88" s="31">
        <v>1.25</v>
      </c>
      <c r="R88" s="66">
        <f>IF(A88='Свод по районам'!$A$12,'Свод по районам'!$G$12,0)</f>
        <v>1.6163696773289624</v>
      </c>
      <c r="S88" s="76">
        <f>ROUND(((D88*$K$7+E88*$K$8+F88*$K$9)+(H88*$AA$7+I88*$AA$8+J88*$AA$9)+(L88*'по детям'!$K$10*0.2+M88*'по детям'!$K$11*0.2+N88*'по детям'!$K$12*0.2))*P88*Q88/1.302/12,1)</f>
        <v>298.5</v>
      </c>
      <c r="T88" s="12">
        <f t="shared" si="39"/>
        <v>214.92000000000004</v>
      </c>
      <c r="U88" s="11">
        <v>179.76330999999999</v>
      </c>
      <c r="V88" s="12">
        <f t="shared" si="40"/>
        <v>118.73669000000001</v>
      </c>
      <c r="W88" s="12">
        <f t="shared" si="27"/>
        <v>118.73669000000001</v>
      </c>
      <c r="X88" s="12">
        <f t="shared" si="28"/>
        <v>0</v>
      </c>
      <c r="Y88" s="20">
        <f t="shared" si="41"/>
        <v>35.156690000000054</v>
      </c>
      <c r="Z88" s="12">
        <f t="shared" si="42"/>
        <v>35.156690000000054</v>
      </c>
      <c r="AA88" s="12">
        <f t="shared" si="43"/>
        <v>0</v>
      </c>
      <c r="AB88" s="8">
        <v>6</v>
      </c>
      <c r="AC88" s="20">
        <f t="shared" si="29"/>
        <v>49750</v>
      </c>
      <c r="AD88" s="20">
        <f t="shared" si="44"/>
        <v>35820.000000000007</v>
      </c>
      <c r="AE88" s="20">
        <f t="shared" si="30"/>
        <v>29960.551666666663</v>
      </c>
      <c r="AF88" s="21">
        <f t="shared" si="31"/>
        <v>19789.448333333337</v>
      </c>
      <c r="AG88" s="23">
        <f t="shared" si="32"/>
        <v>8.3333333333333321</v>
      </c>
      <c r="AH88" s="20">
        <f t="shared" si="33"/>
        <v>35820.000000000007</v>
      </c>
      <c r="AI88" s="20">
        <f t="shared" si="34"/>
        <v>21571.597200000004</v>
      </c>
      <c r="AJ88" s="20">
        <f t="shared" si="45"/>
        <v>14248.402800000003</v>
      </c>
      <c r="AK88" s="47">
        <f t="shared" si="35"/>
        <v>1.3888888888888886</v>
      </c>
    </row>
    <row r="89" spans="1:37" x14ac:dyDescent="0.25">
      <c r="A89" s="8" t="s">
        <v>24</v>
      </c>
      <c r="B89" s="8" t="s">
        <v>263</v>
      </c>
      <c r="C89" s="8" t="s">
        <v>113</v>
      </c>
      <c r="D89" s="8">
        <v>4</v>
      </c>
      <c r="E89" s="8">
        <v>3</v>
      </c>
      <c r="F89" s="8">
        <v>1</v>
      </c>
      <c r="G89" s="8">
        <f t="shared" si="36"/>
        <v>8</v>
      </c>
      <c r="K89" s="8">
        <f t="shared" si="37"/>
        <v>0</v>
      </c>
      <c r="L89" s="8">
        <v>1</v>
      </c>
      <c r="M89" s="8">
        <v>0</v>
      </c>
      <c r="N89" s="8">
        <v>0</v>
      </c>
      <c r="O89" s="8">
        <f t="shared" si="38"/>
        <v>1</v>
      </c>
      <c r="P89" s="31">
        <v>1.5</v>
      </c>
      <c r="Q89" s="31">
        <v>1.25</v>
      </c>
      <c r="R89" s="66">
        <f>IF(A89='Свод по районам'!$A$12,'Свод по районам'!$G$12,0)</f>
        <v>1.6163696773289624</v>
      </c>
      <c r="S89" s="76">
        <f>ROUND(((D89*$K$7+E89*$K$8+F89*$K$9)+(H89*$AA$7+I89*$AA$8+J89*$AA$9)+(L89*'по детям'!$K$10*0.2+M89*'по детям'!$K$11*0.2+N89*'по детям'!$K$12*0.2))*P89*Q89/1.302/12,1)</f>
        <v>460.7</v>
      </c>
      <c r="T89" s="12">
        <f t="shared" si="39"/>
        <v>333.85792207792213</v>
      </c>
      <c r="U89" s="11">
        <v>310.96337000000005</v>
      </c>
      <c r="V89" s="12">
        <f t="shared" si="40"/>
        <v>149.73662999999993</v>
      </c>
      <c r="W89" s="12">
        <f t="shared" si="27"/>
        <v>149.73662999999993</v>
      </c>
      <c r="X89" s="12">
        <f t="shared" si="28"/>
        <v>0</v>
      </c>
      <c r="Y89" s="20">
        <f t="shared" si="41"/>
        <v>22.894552077922071</v>
      </c>
      <c r="Z89" s="12">
        <f t="shared" si="42"/>
        <v>22.894552077922071</v>
      </c>
      <c r="AA89" s="12">
        <f t="shared" si="43"/>
        <v>0</v>
      </c>
      <c r="AB89" s="8">
        <v>9.3000000000000007</v>
      </c>
      <c r="AC89" s="20">
        <f t="shared" si="29"/>
        <v>49537.634408602142</v>
      </c>
      <c r="AD89" s="20">
        <f t="shared" si="44"/>
        <v>35898.701298701308</v>
      </c>
      <c r="AE89" s="20">
        <f t="shared" si="30"/>
        <v>33436.921505376347</v>
      </c>
      <c r="AF89" s="21">
        <f t="shared" si="31"/>
        <v>16100.712903225794</v>
      </c>
      <c r="AG89" s="23">
        <f t="shared" si="32"/>
        <v>12.833333333333332</v>
      </c>
      <c r="AH89" s="20">
        <f t="shared" si="33"/>
        <v>35898.701298701308</v>
      </c>
      <c r="AI89" s="20">
        <f t="shared" si="34"/>
        <v>24230.911948051955</v>
      </c>
      <c r="AJ89" s="20">
        <f t="shared" si="45"/>
        <v>11667.789350649353</v>
      </c>
      <c r="AK89" s="47">
        <f t="shared" si="35"/>
        <v>1.3799283154121862</v>
      </c>
    </row>
    <row r="90" spans="1:37" x14ac:dyDescent="0.25">
      <c r="A90" s="8" t="s">
        <v>24</v>
      </c>
      <c r="B90" s="8" t="s">
        <v>263</v>
      </c>
      <c r="C90" s="8" t="s">
        <v>114</v>
      </c>
      <c r="D90" s="8">
        <v>3</v>
      </c>
      <c r="E90" s="8">
        <v>2</v>
      </c>
      <c r="G90" s="8">
        <f t="shared" si="36"/>
        <v>5</v>
      </c>
      <c r="K90" s="8">
        <f t="shared" si="37"/>
        <v>0</v>
      </c>
      <c r="L90" s="8">
        <v>2</v>
      </c>
      <c r="M90" s="8">
        <v>0</v>
      </c>
      <c r="N90" s="8">
        <v>0</v>
      </c>
      <c r="O90" s="8">
        <f t="shared" si="38"/>
        <v>2</v>
      </c>
      <c r="P90" s="31">
        <v>1.5</v>
      </c>
      <c r="Q90" s="31">
        <v>1.25</v>
      </c>
      <c r="R90" s="66">
        <f>IF(A90='Свод по районам'!$A$12,'Свод по районам'!$G$12,0)</f>
        <v>1.6163696773289624</v>
      </c>
      <c r="S90" s="76">
        <f>ROUND(((D90*$K$7+E90*$K$8+F90*$K$9)+(H90*$AA$7+I90*$AA$8+J90*$AA$9)+(L90*'по детям'!$K$10*0.2+M90*'по детям'!$K$11*0.2+N90*'по детям'!$K$12*0.2))*P90*Q90/1.302/12,1)</f>
        <v>276.2</v>
      </c>
      <c r="T90" s="12">
        <f t="shared" si="39"/>
        <v>180.13043478260869</v>
      </c>
      <c r="U90" s="11">
        <v>178.20574999999999</v>
      </c>
      <c r="V90" s="12">
        <f t="shared" si="40"/>
        <v>97.994249999999994</v>
      </c>
      <c r="W90" s="12">
        <f t="shared" si="27"/>
        <v>97.994249999999994</v>
      </c>
      <c r="X90" s="12">
        <f t="shared" si="28"/>
        <v>0</v>
      </c>
      <c r="Y90" s="20">
        <f t="shared" si="41"/>
        <v>1.9246847826086935</v>
      </c>
      <c r="Z90" s="12">
        <f t="shared" si="42"/>
        <v>1.9246847826086935</v>
      </c>
      <c r="AA90" s="12">
        <f t="shared" si="43"/>
        <v>0</v>
      </c>
      <c r="AB90" s="8">
        <v>5</v>
      </c>
      <c r="AC90" s="20">
        <f t="shared" si="29"/>
        <v>55239.999999999993</v>
      </c>
      <c r="AD90" s="20">
        <f t="shared" si="44"/>
        <v>36026.086956521736</v>
      </c>
      <c r="AE90" s="20">
        <f t="shared" si="30"/>
        <v>35641.149999999994</v>
      </c>
      <c r="AF90" s="21">
        <f t="shared" si="31"/>
        <v>19598.849999999999</v>
      </c>
      <c r="AG90" s="23">
        <f t="shared" si="32"/>
        <v>7.6666666666666661</v>
      </c>
      <c r="AH90" s="20">
        <f t="shared" si="33"/>
        <v>36026.086956521736</v>
      </c>
      <c r="AI90" s="20">
        <f t="shared" si="34"/>
        <v>23244.228260869564</v>
      </c>
      <c r="AJ90" s="20">
        <f t="shared" si="45"/>
        <v>12781.858695652172</v>
      </c>
      <c r="AK90" s="47">
        <f t="shared" si="35"/>
        <v>1.5333333333333332</v>
      </c>
    </row>
    <row r="91" spans="1:37" x14ac:dyDescent="0.25">
      <c r="A91" s="8" t="s">
        <v>24</v>
      </c>
      <c r="C91" s="8" t="s">
        <v>115</v>
      </c>
      <c r="D91" s="8">
        <v>5</v>
      </c>
      <c r="E91" s="8">
        <v>5</v>
      </c>
      <c r="F91" s="8">
        <v>2</v>
      </c>
      <c r="G91" s="8">
        <f t="shared" si="36"/>
        <v>12</v>
      </c>
      <c r="H91" s="8">
        <v>2</v>
      </c>
      <c r="K91" s="8">
        <f t="shared" si="37"/>
        <v>2</v>
      </c>
      <c r="L91" s="8">
        <v>0</v>
      </c>
      <c r="M91" s="8">
        <v>1</v>
      </c>
      <c r="N91" s="8">
        <v>0</v>
      </c>
      <c r="O91" s="8">
        <f t="shared" si="38"/>
        <v>1</v>
      </c>
      <c r="P91" s="31">
        <v>1.5</v>
      </c>
      <c r="Q91" s="31">
        <v>1.25</v>
      </c>
      <c r="R91" s="66">
        <f>IF(A91='Свод по районам'!$A$12,'Свод по районам'!$G$12,0)</f>
        <v>1.6163696773289624</v>
      </c>
      <c r="S91" s="76">
        <f>ROUND(((D91*$K$7+E91*$K$8+F91*$K$9)+(H91*$AA$7+I91*$AA$8+J91*$AA$9)+(L91*'по детям'!$K$10*0.2+M91*'по детям'!$K$11*0.2+N91*'по детям'!$K$12*0.2))*P91*Q91/1.302/12,1)</f>
        <v>734.7</v>
      </c>
      <c r="T91" s="12">
        <f t="shared" si="39"/>
        <v>464.45646112600542</v>
      </c>
      <c r="U91" s="11">
        <v>367.39798999999999</v>
      </c>
      <c r="V91" s="12">
        <f t="shared" si="40"/>
        <v>367.30201000000005</v>
      </c>
      <c r="W91" s="12">
        <f t="shared" si="27"/>
        <v>367.30201000000005</v>
      </c>
      <c r="X91" s="12">
        <f t="shared" si="28"/>
        <v>0</v>
      </c>
      <c r="Y91" s="20">
        <f t="shared" si="41"/>
        <v>97.058471126005429</v>
      </c>
      <c r="Z91" s="12">
        <f t="shared" si="42"/>
        <v>97.058471126005429</v>
      </c>
      <c r="AA91" s="12">
        <f t="shared" si="43"/>
        <v>0</v>
      </c>
      <c r="AB91" s="8">
        <v>13.1</v>
      </c>
      <c r="AC91" s="20">
        <f t="shared" si="29"/>
        <v>56083.969465648865</v>
      </c>
      <c r="AD91" s="20">
        <f t="shared" si="44"/>
        <v>35454.691689008054</v>
      </c>
      <c r="AE91" s="20">
        <f t="shared" si="30"/>
        <v>28045.648091603052</v>
      </c>
      <c r="AF91" s="21">
        <f t="shared" si="31"/>
        <v>28038.321374045812</v>
      </c>
      <c r="AG91" s="23">
        <f t="shared" si="32"/>
        <v>20.722222222222221</v>
      </c>
      <c r="AH91" s="20">
        <f t="shared" si="33"/>
        <v>35454.691689008047</v>
      </c>
      <c r="AI91" s="20">
        <f t="shared" si="34"/>
        <v>17729.661715817696</v>
      </c>
      <c r="AJ91" s="20">
        <f t="shared" si="45"/>
        <v>17725.029973190351</v>
      </c>
      <c r="AK91" s="47">
        <f t="shared" si="35"/>
        <v>1.5818490245971162</v>
      </c>
    </row>
    <row r="92" spans="1:37" x14ac:dyDescent="0.25">
      <c r="A92" s="8" t="s">
        <v>24</v>
      </c>
      <c r="C92" s="8" t="s">
        <v>116</v>
      </c>
      <c r="D92" s="8">
        <v>4</v>
      </c>
      <c r="E92" s="8">
        <v>5</v>
      </c>
      <c r="F92" s="8">
        <v>2</v>
      </c>
      <c r="G92" s="8">
        <f t="shared" si="36"/>
        <v>11</v>
      </c>
      <c r="K92" s="8">
        <f t="shared" si="37"/>
        <v>0</v>
      </c>
      <c r="L92" s="8">
        <v>0</v>
      </c>
      <c r="M92" s="8">
        <v>0</v>
      </c>
      <c r="N92" s="8">
        <v>0</v>
      </c>
      <c r="O92" s="8">
        <f t="shared" si="38"/>
        <v>0</v>
      </c>
      <c r="P92" s="31">
        <v>1.5</v>
      </c>
      <c r="Q92" s="31">
        <v>1.25</v>
      </c>
      <c r="R92" s="66">
        <f>IF(A92='Свод по районам'!$A$12,'Свод по районам'!$G$12,0)</f>
        <v>1.6163696773289624</v>
      </c>
      <c r="S92" s="76">
        <f>ROUND(((D92*$K$7+E92*$K$8+F92*$K$9)+(H92*$AA$7+I92*$AA$8+J92*$AA$9)+(L92*'по детям'!$K$10*0.2+M92*'по детям'!$K$11*0.2+N92*'по детям'!$K$12*0.2))*P92*Q92/1.302/12,1)</f>
        <v>662.4</v>
      </c>
      <c r="T92" s="12">
        <f t="shared" si="39"/>
        <v>451.14810810810803</v>
      </c>
      <c r="U92" s="11">
        <v>313.57342999999997</v>
      </c>
      <c r="V92" s="12">
        <f t="shared" si="40"/>
        <v>348.82657</v>
      </c>
      <c r="W92" s="12">
        <f t="shared" si="27"/>
        <v>348.82657</v>
      </c>
      <c r="X92" s="12">
        <f t="shared" si="28"/>
        <v>0</v>
      </c>
      <c r="Y92" s="20">
        <f t="shared" si="41"/>
        <v>137.57467810810806</v>
      </c>
      <c r="Z92" s="12">
        <f t="shared" si="42"/>
        <v>137.57467810810806</v>
      </c>
      <c r="AA92" s="12">
        <f t="shared" si="43"/>
        <v>0</v>
      </c>
      <c r="AB92" s="8">
        <v>12.6</v>
      </c>
      <c r="AC92" s="20">
        <f t="shared" si="29"/>
        <v>52571.428571428572</v>
      </c>
      <c r="AD92" s="20">
        <f t="shared" si="44"/>
        <v>35805.4054054054</v>
      </c>
      <c r="AE92" s="20">
        <f t="shared" si="30"/>
        <v>24886.780158730158</v>
      </c>
      <c r="AF92" s="21">
        <f t="shared" si="31"/>
        <v>27684.648412698414</v>
      </c>
      <c r="AG92" s="23">
        <f t="shared" si="32"/>
        <v>18.5</v>
      </c>
      <c r="AH92" s="20">
        <f t="shared" si="33"/>
        <v>35805.4054054054</v>
      </c>
      <c r="AI92" s="20">
        <f t="shared" si="34"/>
        <v>16949.915135135132</v>
      </c>
      <c r="AJ92" s="20">
        <f t="shared" si="45"/>
        <v>18855.490270270268</v>
      </c>
      <c r="AK92" s="47">
        <f t="shared" si="35"/>
        <v>1.4682539682539684</v>
      </c>
    </row>
    <row r="93" spans="1:37" x14ac:dyDescent="0.25">
      <c r="A93" s="8" t="s">
        <v>24</v>
      </c>
      <c r="C93" s="8" t="s">
        <v>117</v>
      </c>
      <c r="D93" s="8">
        <v>4</v>
      </c>
      <c r="E93" s="8">
        <v>5</v>
      </c>
      <c r="F93" s="8">
        <v>1</v>
      </c>
      <c r="G93" s="8">
        <f t="shared" si="36"/>
        <v>10</v>
      </c>
      <c r="K93" s="8">
        <f t="shared" si="37"/>
        <v>0</v>
      </c>
      <c r="L93" s="8">
        <v>0</v>
      </c>
      <c r="M93" s="8">
        <v>1</v>
      </c>
      <c r="N93" s="8">
        <v>0</v>
      </c>
      <c r="O93" s="8">
        <f t="shared" si="38"/>
        <v>1</v>
      </c>
      <c r="P93" s="31">
        <v>1.5</v>
      </c>
      <c r="Q93" s="31">
        <v>1.25</v>
      </c>
      <c r="R93" s="66">
        <f>IF(A93='Свод по районам'!$A$12,'Свод по районам'!$G$12,0)</f>
        <v>1.6163696773289624</v>
      </c>
      <c r="S93" s="76">
        <f>ROUND(((D93*$K$7+E93*$K$8+F93*$K$9)+(H93*$AA$7+I93*$AA$8+J93*$AA$9)+(L93*'по детям'!$K$10*0.2+M93*'по детям'!$K$11*0.2+N93*'по детям'!$K$12*0.2))*P93*Q93/1.302/12,1)</f>
        <v>591.70000000000005</v>
      </c>
      <c r="T93" s="12">
        <f t="shared" si="39"/>
        <v>337.089696969697</v>
      </c>
      <c r="U93" s="11">
        <v>307.32294999999999</v>
      </c>
      <c r="V93" s="12">
        <f t="shared" si="40"/>
        <v>284.37705000000005</v>
      </c>
      <c r="W93" s="12">
        <f t="shared" si="27"/>
        <v>284.37705000000005</v>
      </c>
      <c r="X93" s="12">
        <f t="shared" si="28"/>
        <v>0</v>
      </c>
      <c r="Y93" s="20">
        <f t="shared" si="41"/>
        <v>29.76674696969701</v>
      </c>
      <c r="Z93" s="12">
        <f t="shared" si="42"/>
        <v>29.76674696969701</v>
      </c>
      <c r="AA93" s="12">
        <f t="shared" si="43"/>
        <v>0</v>
      </c>
      <c r="AB93" s="8">
        <v>9.4</v>
      </c>
      <c r="AC93" s="20">
        <f t="shared" si="29"/>
        <v>62946.808510638301</v>
      </c>
      <c r="AD93" s="20">
        <f t="shared" si="44"/>
        <v>35860.606060606056</v>
      </c>
      <c r="AE93" s="20">
        <f t="shared" si="30"/>
        <v>32693.930851063826</v>
      </c>
      <c r="AF93" s="21">
        <f t="shared" si="31"/>
        <v>30252.877659574475</v>
      </c>
      <c r="AG93" s="23">
        <f t="shared" si="32"/>
        <v>16.5</v>
      </c>
      <c r="AH93" s="20">
        <f t="shared" si="33"/>
        <v>35860.606060606064</v>
      </c>
      <c r="AI93" s="20">
        <f t="shared" si="34"/>
        <v>18625.633333333331</v>
      </c>
      <c r="AJ93" s="20">
        <f t="shared" si="45"/>
        <v>17234.972727272732</v>
      </c>
      <c r="AK93" s="47">
        <f t="shared" si="35"/>
        <v>1.7553191489361701</v>
      </c>
    </row>
    <row r="94" spans="1:37" x14ac:dyDescent="0.25">
      <c r="A94" s="8" t="s">
        <v>24</v>
      </c>
      <c r="C94" s="8" t="s">
        <v>118</v>
      </c>
      <c r="D94" s="8">
        <v>4</v>
      </c>
      <c r="E94" s="8">
        <v>5</v>
      </c>
      <c r="F94" s="8">
        <v>2</v>
      </c>
      <c r="G94" s="8">
        <f t="shared" si="36"/>
        <v>11</v>
      </c>
      <c r="K94" s="8">
        <f t="shared" si="37"/>
        <v>0</v>
      </c>
      <c r="L94" s="8">
        <v>0</v>
      </c>
      <c r="M94" s="8">
        <v>1</v>
      </c>
      <c r="N94" s="8">
        <v>0</v>
      </c>
      <c r="O94" s="8">
        <f t="shared" si="38"/>
        <v>1</v>
      </c>
      <c r="P94" s="31">
        <v>1.5</v>
      </c>
      <c r="Q94" s="31">
        <v>1.25</v>
      </c>
      <c r="R94" s="66">
        <f>IF(A94='Свод по районам'!$A$12,'Свод по районам'!$G$12,0)</f>
        <v>1.6163696773289624</v>
      </c>
      <c r="S94" s="76">
        <f>ROUND(((D94*$K$7+E94*$K$8+F94*$K$9)+(H94*$AA$7+I94*$AA$8+J94*$AA$9)+(L94*'по детям'!$K$10*0.2+M94*'по детям'!$K$11*0.2+N94*'по детям'!$K$12*0.2))*P94*Q94/1.302/12,1)</f>
        <v>663.1</v>
      </c>
      <c r="T94" s="12">
        <f t="shared" si="39"/>
        <v>440.87189189189195</v>
      </c>
      <c r="U94" s="11">
        <v>394.53952000000004</v>
      </c>
      <c r="V94" s="12">
        <f t="shared" si="40"/>
        <v>268.56047999999998</v>
      </c>
      <c r="W94" s="12">
        <f t="shared" si="27"/>
        <v>268.56047999999998</v>
      </c>
      <c r="X94" s="12">
        <f t="shared" si="28"/>
        <v>0</v>
      </c>
      <c r="Y94" s="20">
        <f t="shared" si="41"/>
        <v>46.33237189189191</v>
      </c>
      <c r="Z94" s="12">
        <f t="shared" si="42"/>
        <v>46.33237189189191</v>
      </c>
      <c r="AA94" s="12">
        <f t="shared" si="43"/>
        <v>0</v>
      </c>
      <c r="AB94" s="8">
        <v>12.3</v>
      </c>
      <c r="AC94" s="20">
        <f t="shared" si="29"/>
        <v>53910.569105691051</v>
      </c>
      <c r="AD94" s="20">
        <f t="shared" si="44"/>
        <v>35843.243243243247</v>
      </c>
      <c r="AE94" s="20">
        <f t="shared" si="30"/>
        <v>32076.383739837398</v>
      </c>
      <c r="AF94" s="21">
        <f t="shared" si="31"/>
        <v>21834.185365853653</v>
      </c>
      <c r="AG94" s="23">
        <f t="shared" si="32"/>
        <v>18.5</v>
      </c>
      <c r="AH94" s="20">
        <f t="shared" si="33"/>
        <v>35843.243243243247</v>
      </c>
      <c r="AI94" s="20">
        <f t="shared" si="34"/>
        <v>21326.460540540542</v>
      </c>
      <c r="AJ94" s="20">
        <f t="shared" si="45"/>
        <v>14516.782702702705</v>
      </c>
      <c r="AK94" s="47">
        <f t="shared" si="35"/>
        <v>1.5040650406504064</v>
      </c>
    </row>
    <row r="95" spans="1:37" x14ac:dyDescent="0.25">
      <c r="A95" s="8" t="s">
        <v>24</v>
      </c>
      <c r="B95" s="8" t="s">
        <v>263</v>
      </c>
      <c r="C95" s="8" t="s">
        <v>119</v>
      </c>
      <c r="D95" s="8">
        <v>4</v>
      </c>
      <c r="E95" s="8">
        <v>3</v>
      </c>
      <c r="F95" s="8">
        <v>1</v>
      </c>
      <c r="G95" s="8">
        <f t="shared" si="36"/>
        <v>8</v>
      </c>
      <c r="K95" s="8">
        <f t="shared" si="37"/>
        <v>0</v>
      </c>
      <c r="L95" s="8">
        <v>0</v>
      </c>
      <c r="M95" s="8">
        <v>0</v>
      </c>
      <c r="N95" s="8">
        <v>0</v>
      </c>
      <c r="O95" s="8">
        <f t="shared" si="38"/>
        <v>0</v>
      </c>
      <c r="P95" s="31">
        <v>1.5</v>
      </c>
      <c r="Q95" s="31">
        <v>1.25</v>
      </c>
      <c r="R95" s="66">
        <f>IF(A95='Свод по районам'!$A$12,'Свод по районам'!$G$12,0)</f>
        <v>1.6163696773289624</v>
      </c>
      <c r="S95" s="76">
        <f>ROUND(((D95*$K$7+E95*$K$8+F95*$K$9)+(H95*$AA$7+I95*$AA$8+J95*$AA$9)+(L95*'по детям'!$K$10*0.2+M95*'по детям'!$K$11*0.2+N95*'по детям'!$K$12*0.2))*P95*Q95/1.302/12,1)</f>
        <v>460.3</v>
      </c>
      <c r="T95" s="12">
        <f t="shared" si="39"/>
        <v>369.43558441558451</v>
      </c>
      <c r="U95" s="11">
        <v>318.05414000000002</v>
      </c>
      <c r="V95" s="12">
        <f t="shared" si="40"/>
        <v>142.24585999999999</v>
      </c>
      <c r="W95" s="12">
        <f t="shared" si="27"/>
        <v>142.24585999999999</v>
      </c>
      <c r="X95" s="12">
        <f t="shared" si="28"/>
        <v>0</v>
      </c>
      <c r="Y95" s="20">
        <f t="shared" si="41"/>
        <v>51.381444415584497</v>
      </c>
      <c r="Z95" s="12">
        <f t="shared" si="42"/>
        <v>51.381444415584497</v>
      </c>
      <c r="AA95" s="12">
        <f t="shared" si="43"/>
        <v>0</v>
      </c>
      <c r="AB95" s="8">
        <v>10.3</v>
      </c>
      <c r="AC95" s="20">
        <f t="shared" si="29"/>
        <v>44689.320388349515</v>
      </c>
      <c r="AD95" s="20">
        <f t="shared" si="44"/>
        <v>35867.532467532481</v>
      </c>
      <c r="AE95" s="20">
        <f t="shared" si="30"/>
        <v>30879.042718446603</v>
      </c>
      <c r="AF95" s="21">
        <f t="shared" si="31"/>
        <v>13810.277669902913</v>
      </c>
      <c r="AG95" s="23">
        <f t="shared" si="32"/>
        <v>12.833333333333332</v>
      </c>
      <c r="AH95" s="20">
        <f t="shared" si="33"/>
        <v>35867.532467532474</v>
      </c>
      <c r="AI95" s="20">
        <f t="shared" si="34"/>
        <v>24783.439480519482</v>
      </c>
      <c r="AJ95" s="20">
        <f t="shared" si="45"/>
        <v>11084.092987012991</v>
      </c>
      <c r="AK95" s="47">
        <f t="shared" si="35"/>
        <v>1.245954692556634</v>
      </c>
    </row>
    <row r="96" spans="1:37" x14ac:dyDescent="0.25">
      <c r="A96" s="8" t="s">
        <v>24</v>
      </c>
      <c r="B96" s="8" t="s">
        <v>263</v>
      </c>
      <c r="C96" s="8" t="s">
        <v>120</v>
      </c>
      <c r="D96" s="8">
        <v>3</v>
      </c>
      <c r="E96" s="8">
        <v>3</v>
      </c>
      <c r="F96" s="8">
        <v>1</v>
      </c>
      <c r="G96" s="8">
        <f t="shared" si="36"/>
        <v>7</v>
      </c>
      <c r="K96" s="8">
        <f t="shared" si="37"/>
        <v>0</v>
      </c>
      <c r="L96" s="8">
        <v>0</v>
      </c>
      <c r="M96" s="8">
        <v>0</v>
      </c>
      <c r="N96" s="8">
        <v>0</v>
      </c>
      <c r="O96" s="8">
        <f t="shared" si="38"/>
        <v>0</v>
      </c>
      <c r="P96" s="31">
        <v>1.5</v>
      </c>
      <c r="Q96" s="31">
        <v>1.25</v>
      </c>
      <c r="R96" s="66">
        <f>IF(A96='Свод по районам'!$A$12,'Свод по районам'!$G$12,0)</f>
        <v>1.6163696773289624</v>
      </c>
      <c r="S96" s="76">
        <f>ROUND(((D96*$K$7+E96*$K$8+F96*$K$9)+(H96*$AA$7+I96*$AA$8+J96*$AA$9)+(L96*'по детям'!$K$10*0.2+M96*'по детям'!$K$11*0.2+N96*'по детям'!$K$12*0.2))*P96*Q96/1.302/12,1)</f>
        <v>412.1</v>
      </c>
      <c r="T96" s="12">
        <f t="shared" si="39"/>
        <v>322.5130434782609</v>
      </c>
      <c r="U96" s="11">
        <v>264.54573999999997</v>
      </c>
      <c r="V96" s="12">
        <f t="shared" si="40"/>
        <v>147.55426000000006</v>
      </c>
      <c r="W96" s="12">
        <f t="shared" si="27"/>
        <v>147.55426000000006</v>
      </c>
      <c r="X96" s="12">
        <f t="shared" si="28"/>
        <v>0</v>
      </c>
      <c r="Y96" s="20">
        <f t="shared" si="41"/>
        <v>57.967303478260931</v>
      </c>
      <c r="Z96" s="12">
        <f t="shared" si="42"/>
        <v>57.967303478260931</v>
      </c>
      <c r="AA96" s="12">
        <f t="shared" si="43"/>
        <v>0</v>
      </c>
      <c r="AB96" s="8">
        <v>9</v>
      </c>
      <c r="AC96" s="20">
        <f t="shared" si="29"/>
        <v>45788.888888888891</v>
      </c>
      <c r="AD96" s="20">
        <f t="shared" si="44"/>
        <v>35834.782608695656</v>
      </c>
      <c r="AE96" s="20">
        <f t="shared" si="30"/>
        <v>29393.971111111106</v>
      </c>
      <c r="AF96" s="21">
        <f t="shared" si="31"/>
        <v>16394.917777777784</v>
      </c>
      <c r="AG96" s="23">
        <f t="shared" si="32"/>
        <v>11.5</v>
      </c>
      <c r="AH96" s="20">
        <f t="shared" si="33"/>
        <v>35834.782608695656</v>
      </c>
      <c r="AI96" s="20">
        <f t="shared" si="34"/>
        <v>23003.977391304346</v>
      </c>
      <c r="AJ96" s="20">
        <f t="shared" si="45"/>
        <v>12830.805217391309</v>
      </c>
      <c r="AK96" s="47">
        <f t="shared" si="35"/>
        <v>1.2777777777777777</v>
      </c>
    </row>
    <row r="97" spans="1:37" x14ac:dyDescent="0.25">
      <c r="A97" s="8" t="s">
        <v>24</v>
      </c>
      <c r="C97" s="8" t="s">
        <v>121</v>
      </c>
      <c r="D97" s="8">
        <v>4</v>
      </c>
      <c r="E97" s="8">
        <v>5</v>
      </c>
      <c r="F97" s="8">
        <v>2</v>
      </c>
      <c r="G97" s="8">
        <f t="shared" si="36"/>
        <v>11</v>
      </c>
      <c r="K97" s="8">
        <f t="shared" si="37"/>
        <v>0</v>
      </c>
      <c r="L97" s="8">
        <v>1</v>
      </c>
      <c r="M97" s="8">
        <v>0</v>
      </c>
      <c r="N97" s="8">
        <v>0</v>
      </c>
      <c r="O97" s="8">
        <f t="shared" si="38"/>
        <v>1</v>
      </c>
      <c r="P97" s="31">
        <v>1.5</v>
      </c>
      <c r="Q97" s="31">
        <v>1.25</v>
      </c>
      <c r="R97" s="66">
        <f>IF(A97='Свод по районам'!$A$12,'Свод по районам'!$G$12,0)</f>
        <v>1.6163696773289624</v>
      </c>
      <c r="S97" s="76">
        <f>ROUND(((D97*$K$7+E97*$K$8+F97*$K$9)+(H97*$AA$7+I97*$AA$8+J97*$AA$9)+(L97*'по детям'!$K$10*0.2+M97*'по детям'!$K$11*0.2+N97*'по детям'!$K$12*0.2))*P97*Q97/1.302/12,1)</f>
        <v>662.9</v>
      </c>
      <c r="T97" s="12">
        <f t="shared" si="39"/>
        <v>383.40702702702697</v>
      </c>
      <c r="U97" s="11">
        <v>307.64268999999996</v>
      </c>
      <c r="V97" s="12">
        <f t="shared" si="40"/>
        <v>355.25731000000002</v>
      </c>
      <c r="W97" s="12">
        <f t="shared" si="27"/>
        <v>355.25731000000002</v>
      </c>
      <c r="X97" s="12">
        <f t="shared" si="28"/>
        <v>0</v>
      </c>
      <c r="Y97" s="20">
        <f t="shared" si="41"/>
        <v>75.764337027027011</v>
      </c>
      <c r="Z97" s="12">
        <f t="shared" si="42"/>
        <v>75.764337027027011</v>
      </c>
      <c r="AA97" s="12">
        <f t="shared" si="43"/>
        <v>0</v>
      </c>
      <c r="AB97" s="8">
        <v>10.7</v>
      </c>
      <c r="AC97" s="20">
        <f t="shared" si="29"/>
        <v>61953.271028037387</v>
      </c>
      <c r="AD97" s="20">
        <f t="shared" si="44"/>
        <v>35832.432432432426</v>
      </c>
      <c r="AE97" s="20">
        <f t="shared" si="30"/>
        <v>28751.653271028037</v>
      </c>
      <c r="AF97" s="21">
        <f t="shared" si="31"/>
        <v>33201.61775700935</v>
      </c>
      <c r="AG97" s="23">
        <f t="shared" si="32"/>
        <v>18.5</v>
      </c>
      <c r="AH97" s="20">
        <f t="shared" si="33"/>
        <v>35832.432432432433</v>
      </c>
      <c r="AI97" s="20">
        <f t="shared" si="34"/>
        <v>16629.334594594591</v>
      </c>
      <c r="AJ97" s="20">
        <f t="shared" si="45"/>
        <v>19203.097837837842</v>
      </c>
      <c r="AK97" s="47">
        <f t="shared" si="35"/>
        <v>1.7289719626168225</v>
      </c>
    </row>
    <row r="98" spans="1:37" x14ac:dyDescent="0.25">
      <c r="A98" s="8" t="s">
        <v>24</v>
      </c>
      <c r="C98" s="8" t="s">
        <v>122</v>
      </c>
      <c r="D98" s="8">
        <v>4</v>
      </c>
      <c r="E98" s="8">
        <v>5</v>
      </c>
      <c r="F98" s="8">
        <v>2</v>
      </c>
      <c r="G98" s="8">
        <f t="shared" si="36"/>
        <v>11</v>
      </c>
      <c r="K98" s="8">
        <f t="shared" si="37"/>
        <v>0</v>
      </c>
      <c r="L98" s="8">
        <v>0</v>
      </c>
      <c r="M98" s="8">
        <v>0</v>
      </c>
      <c r="N98" s="8">
        <v>0</v>
      </c>
      <c r="O98" s="8">
        <f t="shared" si="38"/>
        <v>0</v>
      </c>
      <c r="P98" s="31">
        <v>1.5</v>
      </c>
      <c r="Q98" s="31">
        <v>1.25</v>
      </c>
      <c r="R98" s="66">
        <f>IF(A98='Свод по районам'!$A$12,'Свод по районам'!$G$12,0)</f>
        <v>1.6163696773289624</v>
      </c>
      <c r="S98" s="76">
        <f>ROUND(((D98*$K$7+E98*$K$8+F98*$K$9)+(H98*$AA$7+I98*$AA$8+J98*$AA$9)+(L98*'по детям'!$K$10*0.2+M98*'по детям'!$K$11*0.2+N98*'по детям'!$K$12*0.2))*P98*Q98/1.302/12,1)</f>
        <v>662.4</v>
      </c>
      <c r="T98" s="12">
        <f t="shared" si="39"/>
        <v>522.75891891891888</v>
      </c>
      <c r="U98" s="11">
        <v>358.08860999999996</v>
      </c>
      <c r="V98" s="12">
        <f t="shared" si="40"/>
        <v>304.31139000000002</v>
      </c>
      <c r="W98" s="12">
        <f t="shared" si="27"/>
        <v>304.31139000000002</v>
      </c>
      <c r="X98" s="12">
        <f t="shared" si="28"/>
        <v>0</v>
      </c>
      <c r="Y98" s="20">
        <f t="shared" si="41"/>
        <v>164.67030891891892</v>
      </c>
      <c r="Z98" s="12">
        <f t="shared" si="42"/>
        <v>164.67030891891892</v>
      </c>
      <c r="AA98" s="12">
        <f t="shared" si="43"/>
        <v>0</v>
      </c>
      <c r="AB98" s="8">
        <v>14.6</v>
      </c>
      <c r="AC98" s="20">
        <f t="shared" si="29"/>
        <v>45369.863013698625</v>
      </c>
      <c r="AD98" s="20">
        <f t="shared" si="44"/>
        <v>35805.4054054054</v>
      </c>
      <c r="AE98" s="20">
        <f t="shared" si="30"/>
        <v>24526.61712328767</v>
      </c>
      <c r="AF98" s="21">
        <f t="shared" si="31"/>
        <v>20843.245890410955</v>
      </c>
      <c r="AG98" s="23">
        <f t="shared" si="32"/>
        <v>18.5</v>
      </c>
      <c r="AH98" s="20">
        <f t="shared" si="33"/>
        <v>35805.4054054054</v>
      </c>
      <c r="AI98" s="20">
        <f t="shared" si="34"/>
        <v>19356.141081081081</v>
      </c>
      <c r="AJ98" s="20">
        <f t="shared" si="45"/>
        <v>16449.264324324318</v>
      </c>
      <c r="AK98" s="47">
        <f t="shared" si="35"/>
        <v>1.2671232876712328</v>
      </c>
    </row>
    <row r="99" spans="1:37" x14ac:dyDescent="0.25">
      <c r="A99" s="8" t="s">
        <v>24</v>
      </c>
      <c r="C99" s="8" t="s">
        <v>123</v>
      </c>
      <c r="D99" s="8">
        <v>4</v>
      </c>
      <c r="E99" s="8">
        <v>5</v>
      </c>
      <c r="F99" s="8">
        <v>2</v>
      </c>
      <c r="G99" s="8">
        <f t="shared" si="36"/>
        <v>11</v>
      </c>
      <c r="H99" s="8">
        <v>1</v>
      </c>
      <c r="K99" s="8">
        <f t="shared" si="37"/>
        <v>1</v>
      </c>
      <c r="L99" s="8">
        <v>1</v>
      </c>
      <c r="M99" s="8">
        <v>1</v>
      </c>
      <c r="N99" s="8">
        <v>0</v>
      </c>
      <c r="O99" s="8">
        <f t="shared" si="38"/>
        <v>2</v>
      </c>
      <c r="P99" s="31">
        <v>1.5</v>
      </c>
      <c r="Q99" s="31">
        <v>1.25</v>
      </c>
      <c r="R99" s="66">
        <f>IF(A99='Свод по районам'!$A$12,'Свод по районам'!$G$12,0)</f>
        <v>1.6163696773289624</v>
      </c>
      <c r="S99" s="76">
        <f>ROUND(((D99*$K$7+E99*$K$8+F99*$K$9)+(H99*$AA$7+I99*$AA$8+J99*$AA$9)+(L99*'по детям'!$K$10*0.2+M99*'по детям'!$K$11*0.2+N99*'по детям'!$K$12*0.2))*P99*Q99/1.302/12,1)</f>
        <v>675.3</v>
      </c>
      <c r="T99" s="12">
        <f t="shared" si="39"/>
        <v>399.23894428152488</v>
      </c>
      <c r="U99" s="11">
        <v>354.80245000000002</v>
      </c>
      <c r="V99" s="12">
        <f t="shared" si="40"/>
        <v>320.49754999999993</v>
      </c>
      <c r="W99" s="12">
        <f t="shared" si="27"/>
        <v>320.49754999999993</v>
      </c>
      <c r="X99" s="12">
        <f t="shared" si="28"/>
        <v>0</v>
      </c>
      <c r="Y99" s="20">
        <f t="shared" si="41"/>
        <v>44.436494281524858</v>
      </c>
      <c r="Z99" s="12">
        <f t="shared" si="42"/>
        <v>44.436494281524858</v>
      </c>
      <c r="AA99" s="12">
        <f t="shared" si="43"/>
        <v>0</v>
      </c>
      <c r="AB99" s="8">
        <v>11.2</v>
      </c>
      <c r="AC99" s="20">
        <f t="shared" si="29"/>
        <v>60294.642857142855</v>
      </c>
      <c r="AD99" s="20">
        <f t="shared" si="44"/>
        <v>35646.334310850434</v>
      </c>
      <c r="AE99" s="20">
        <f t="shared" si="30"/>
        <v>31678.790178571431</v>
      </c>
      <c r="AF99" s="21">
        <f t="shared" si="31"/>
        <v>28615.852678571424</v>
      </c>
      <c r="AG99" s="23">
        <f t="shared" si="32"/>
        <v>18.944444444444443</v>
      </c>
      <c r="AH99" s="20">
        <f t="shared" si="33"/>
        <v>35646.334310850441</v>
      </c>
      <c r="AI99" s="20">
        <f t="shared" si="34"/>
        <v>18728.575073313783</v>
      </c>
      <c r="AJ99" s="20">
        <f t="shared" si="45"/>
        <v>16917.759237536658</v>
      </c>
      <c r="AK99" s="47">
        <f t="shared" si="35"/>
        <v>1.691468253968254</v>
      </c>
    </row>
    <row r="100" spans="1:37" x14ac:dyDescent="0.25">
      <c r="A100" s="8" t="s">
        <v>24</v>
      </c>
      <c r="B100" s="8" t="s">
        <v>263</v>
      </c>
      <c r="C100" s="8" t="s">
        <v>124</v>
      </c>
      <c r="D100" s="8">
        <v>3</v>
      </c>
      <c r="E100" s="8">
        <v>2</v>
      </c>
      <c r="F100" s="8">
        <v>1</v>
      </c>
      <c r="G100" s="8">
        <f t="shared" si="36"/>
        <v>6</v>
      </c>
      <c r="K100" s="8">
        <f t="shared" si="37"/>
        <v>0</v>
      </c>
      <c r="L100" s="8">
        <v>0</v>
      </c>
      <c r="M100" s="8">
        <v>0</v>
      </c>
      <c r="N100" s="8">
        <v>0</v>
      </c>
      <c r="O100" s="8">
        <f t="shared" si="38"/>
        <v>0</v>
      </c>
      <c r="P100" s="31">
        <v>1.5</v>
      </c>
      <c r="Q100" s="31">
        <v>1.25</v>
      </c>
      <c r="R100" s="66">
        <f>IF(A100='Свод по районам'!$A$12,'Свод по районам'!$G$12,0)</f>
        <v>1.6163696773289624</v>
      </c>
      <c r="S100" s="76">
        <f>ROUND(((D100*$K$7+E100*$K$8+F100*$K$9)+(H100*$AA$7+I100*$AA$8+J100*$AA$9)+(L100*'по детям'!$K$10*0.2+M100*'по детям'!$K$11*0.2+N100*'по детям'!$K$12*0.2))*P100*Q100/1.302/12,1)</f>
        <v>346.7</v>
      </c>
      <c r="T100" s="12">
        <f t="shared" si="39"/>
        <v>276.16448275862069</v>
      </c>
      <c r="U100" s="11">
        <v>230.97101000000001</v>
      </c>
      <c r="V100" s="12">
        <f t="shared" si="40"/>
        <v>115.72898999999998</v>
      </c>
      <c r="W100" s="12">
        <f t="shared" si="27"/>
        <v>115.72898999999998</v>
      </c>
      <c r="X100" s="12">
        <f t="shared" si="28"/>
        <v>0</v>
      </c>
      <c r="Y100" s="20">
        <f t="shared" si="41"/>
        <v>45.193472758620686</v>
      </c>
      <c r="Z100" s="12">
        <f t="shared" si="42"/>
        <v>45.193472758620686</v>
      </c>
      <c r="AA100" s="12">
        <f t="shared" si="43"/>
        <v>0</v>
      </c>
      <c r="AB100" s="8">
        <v>7.7</v>
      </c>
      <c r="AC100" s="20">
        <f t="shared" si="29"/>
        <v>45025.974025974021</v>
      </c>
      <c r="AD100" s="20">
        <f t="shared" si="44"/>
        <v>35865.517241379312</v>
      </c>
      <c r="AE100" s="20">
        <f t="shared" si="30"/>
        <v>29996.235064935063</v>
      </c>
      <c r="AF100" s="21">
        <f t="shared" si="31"/>
        <v>15029.738961038958</v>
      </c>
      <c r="AG100" s="23">
        <f t="shared" si="32"/>
        <v>9.6666666666666661</v>
      </c>
      <c r="AH100" s="20">
        <f t="shared" si="33"/>
        <v>35865.517241379312</v>
      </c>
      <c r="AI100" s="20">
        <f t="shared" si="34"/>
        <v>23893.552758620692</v>
      </c>
      <c r="AJ100" s="20">
        <f t="shared" si="45"/>
        <v>11971.96448275862</v>
      </c>
      <c r="AK100" s="47">
        <f t="shared" si="35"/>
        <v>1.2554112554112553</v>
      </c>
    </row>
    <row r="101" spans="1:37" x14ac:dyDescent="0.25">
      <c r="A101" s="8" t="s">
        <v>24</v>
      </c>
      <c r="B101" s="8" t="s">
        <v>263</v>
      </c>
      <c r="C101" s="8" t="s">
        <v>125</v>
      </c>
      <c r="D101" s="8">
        <v>3</v>
      </c>
      <c r="E101" s="8">
        <v>3</v>
      </c>
      <c r="F101" s="8">
        <v>2</v>
      </c>
      <c r="G101" s="8">
        <f t="shared" si="36"/>
        <v>8</v>
      </c>
      <c r="K101" s="8">
        <f t="shared" si="37"/>
        <v>0</v>
      </c>
      <c r="L101" s="8">
        <v>0</v>
      </c>
      <c r="M101" s="8">
        <v>0</v>
      </c>
      <c r="N101" s="8">
        <v>0</v>
      </c>
      <c r="O101" s="8">
        <f t="shared" si="38"/>
        <v>0</v>
      </c>
      <c r="P101" s="31">
        <v>1.5</v>
      </c>
      <c r="Q101" s="31">
        <v>1.25</v>
      </c>
      <c r="R101" s="66">
        <f>IF(A101='Свод по районам'!$A$12,'Свод по районам'!$G$12,0)</f>
        <v>1.6163696773289624</v>
      </c>
      <c r="S101" s="76">
        <f>ROUND(((D101*$K$7+E101*$K$8+F101*$K$9)+(H101*$AA$7+I101*$AA$8+J101*$AA$9)+(L101*'по детям'!$K$10*0.2+M101*'по детям'!$K$11*0.2+N101*'по детям'!$K$12*0.2))*P101*Q101/1.302/12,1)</f>
        <v>483.4</v>
      </c>
      <c r="T101" s="12">
        <f t="shared" si="39"/>
        <v>329.42814814814813</v>
      </c>
      <c r="U101" s="11">
        <v>302.54728</v>
      </c>
      <c r="V101" s="12">
        <f t="shared" si="40"/>
        <v>180.85271999999998</v>
      </c>
      <c r="W101" s="12">
        <f t="shared" si="27"/>
        <v>180.85271999999998</v>
      </c>
      <c r="X101" s="12">
        <f t="shared" si="28"/>
        <v>0</v>
      </c>
      <c r="Y101" s="20">
        <f t="shared" si="41"/>
        <v>26.880868148148124</v>
      </c>
      <c r="Z101" s="12">
        <f t="shared" si="42"/>
        <v>26.880868148148124</v>
      </c>
      <c r="AA101" s="12">
        <f t="shared" si="43"/>
        <v>0</v>
      </c>
      <c r="AB101" s="8">
        <v>9.1999999999999993</v>
      </c>
      <c r="AC101" s="20">
        <f t="shared" si="29"/>
        <v>52543.478260869568</v>
      </c>
      <c r="AD101" s="20">
        <f t="shared" si="44"/>
        <v>35807.407407407409</v>
      </c>
      <c r="AE101" s="20">
        <f t="shared" si="30"/>
        <v>32885.573913043481</v>
      </c>
      <c r="AF101" s="21">
        <f t="shared" si="31"/>
        <v>19657.904347826086</v>
      </c>
      <c r="AG101" s="23">
        <f t="shared" si="32"/>
        <v>13.5</v>
      </c>
      <c r="AH101" s="20">
        <f t="shared" si="33"/>
        <v>35807.407407407401</v>
      </c>
      <c r="AI101" s="20">
        <f t="shared" si="34"/>
        <v>22410.90962962963</v>
      </c>
      <c r="AJ101" s="20">
        <f t="shared" si="45"/>
        <v>13396.497777777771</v>
      </c>
      <c r="AK101" s="47">
        <f t="shared" si="35"/>
        <v>1.4673913043478262</v>
      </c>
    </row>
    <row r="102" spans="1:37" x14ac:dyDescent="0.25">
      <c r="A102" s="8" t="s">
        <v>24</v>
      </c>
      <c r="B102" s="8" t="s">
        <v>263</v>
      </c>
      <c r="C102" s="8" t="s">
        <v>126</v>
      </c>
      <c r="D102" s="8">
        <v>3</v>
      </c>
      <c r="E102" s="8">
        <v>4</v>
      </c>
      <c r="F102" s="8">
        <v>1</v>
      </c>
      <c r="G102" s="8">
        <f t="shared" si="36"/>
        <v>8</v>
      </c>
      <c r="K102" s="8">
        <f t="shared" si="37"/>
        <v>0</v>
      </c>
      <c r="L102" s="8">
        <v>0</v>
      </c>
      <c r="M102" s="8">
        <v>0</v>
      </c>
      <c r="N102" s="8">
        <v>0</v>
      </c>
      <c r="O102" s="8">
        <f t="shared" si="38"/>
        <v>0</v>
      </c>
      <c r="P102" s="31">
        <v>1.5</v>
      </c>
      <c r="Q102" s="31">
        <v>1.25</v>
      </c>
      <c r="R102" s="66">
        <f>IF(A102='Свод по районам'!$A$12,'Свод по районам'!$G$12,0)</f>
        <v>1.6163696773289624</v>
      </c>
      <c r="S102" s="76">
        <f>ROUND(((D102*$K$7+E102*$K$8+F102*$K$9)+(H102*$AA$7+I102*$AA$8+J102*$AA$9)+(L102*'по детям'!$K$10*0.2+M102*'по детям'!$K$11*0.2+N102*'по детям'!$K$12*0.2))*P102*Q102/1.302/12,1)</f>
        <v>477.5</v>
      </c>
      <c r="T102" s="12">
        <f t="shared" si="39"/>
        <v>354.54375000000005</v>
      </c>
      <c r="U102" s="11">
        <v>314.80804000000001</v>
      </c>
      <c r="V102" s="12">
        <f t="shared" si="40"/>
        <v>162.69195999999999</v>
      </c>
      <c r="W102" s="12">
        <f t="shared" si="27"/>
        <v>162.69195999999999</v>
      </c>
      <c r="X102" s="12">
        <f t="shared" si="28"/>
        <v>0</v>
      </c>
      <c r="Y102" s="20">
        <f t="shared" si="41"/>
        <v>39.73571000000004</v>
      </c>
      <c r="Z102" s="12">
        <f t="shared" si="42"/>
        <v>39.73571000000004</v>
      </c>
      <c r="AA102" s="12">
        <f t="shared" si="43"/>
        <v>0</v>
      </c>
      <c r="AB102" s="8">
        <v>9.9</v>
      </c>
      <c r="AC102" s="20">
        <f t="shared" si="29"/>
        <v>48232.32323232323</v>
      </c>
      <c r="AD102" s="20">
        <f t="shared" si="44"/>
        <v>35812.5</v>
      </c>
      <c r="AE102" s="20">
        <f t="shared" si="30"/>
        <v>31798.791919191917</v>
      </c>
      <c r="AF102" s="21">
        <f t="shared" si="31"/>
        <v>16433.531313131312</v>
      </c>
      <c r="AG102" s="23">
        <f t="shared" si="32"/>
        <v>13.333333333333332</v>
      </c>
      <c r="AH102" s="20">
        <f t="shared" si="33"/>
        <v>35812.5</v>
      </c>
      <c r="AI102" s="20">
        <f t="shared" si="34"/>
        <v>23610.603000000003</v>
      </c>
      <c r="AJ102" s="20">
        <f t="shared" si="45"/>
        <v>12201.896999999997</v>
      </c>
      <c r="AK102" s="47">
        <f t="shared" si="35"/>
        <v>1.3468013468013467</v>
      </c>
    </row>
    <row r="103" spans="1:37" x14ac:dyDescent="0.25">
      <c r="A103" s="8" t="s">
        <v>24</v>
      </c>
      <c r="B103" s="8" t="s">
        <v>263</v>
      </c>
      <c r="C103" s="8" t="s">
        <v>127</v>
      </c>
      <c r="D103" s="8">
        <v>4</v>
      </c>
      <c r="E103" s="8">
        <v>3</v>
      </c>
      <c r="F103" s="8">
        <v>1</v>
      </c>
      <c r="G103" s="8">
        <f t="shared" si="36"/>
        <v>8</v>
      </c>
      <c r="K103" s="8">
        <f t="shared" si="37"/>
        <v>0</v>
      </c>
      <c r="L103" s="8">
        <v>0</v>
      </c>
      <c r="M103" s="8">
        <v>0</v>
      </c>
      <c r="N103" s="8">
        <v>0</v>
      </c>
      <c r="O103" s="8">
        <f t="shared" si="38"/>
        <v>0</v>
      </c>
      <c r="P103" s="31">
        <v>1.5</v>
      </c>
      <c r="Q103" s="31">
        <v>1.25</v>
      </c>
      <c r="R103" s="66">
        <f>IF(A103='Свод по районам'!$A$12,'Свод по районам'!$G$12,0)</f>
        <v>1.6163696773289624</v>
      </c>
      <c r="S103" s="76">
        <f>ROUND(((D103*$K$7+E103*$K$8+F103*$K$9)+(H103*$AA$7+I103*$AA$8+J103*$AA$9)+(L103*'по детям'!$K$10*0.2+M103*'по детям'!$K$11*0.2+N103*'по детям'!$K$12*0.2))*P103*Q103/1.302/12,1)</f>
        <v>460.3</v>
      </c>
      <c r="T103" s="12">
        <f t="shared" si="39"/>
        <v>322.80779220779226</v>
      </c>
      <c r="U103" s="11">
        <v>305.15230000000003</v>
      </c>
      <c r="V103" s="12">
        <f t="shared" si="40"/>
        <v>155.14769999999999</v>
      </c>
      <c r="W103" s="12">
        <f t="shared" si="27"/>
        <v>155.14769999999999</v>
      </c>
      <c r="X103" s="12">
        <f t="shared" si="28"/>
        <v>0</v>
      </c>
      <c r="Y103" s="20">
        <f t="shared" si="41"/>
        <v>17.655492207792236</v>
      </c>
      <c r="Z103" s="12">
        <f t="shared" si="42"/>
        <v>17.655492207792236</v>
      </c>
      <c r="AA103" s="12">
        <f t="shared" si="43"/>
        <v>0</v>
      </c>
      <c r="AB103" s="8">
        <v>9</v>
      </c>
      <c r="AC103" s="20">
        <f t="shared" si="29"/>
        <v>51144.444444444445</v>
      </c>
      <c r="AD103" s="20">
        <f t="shared" si="44"/>
        <v>35867.532467532474</v>
      </c>
      <c r="AE103" s="20">
        <f t="shared" si="30"/>
        <v>33905.811111111114</v>
      </c>
      <c r="AF103" s="21">
        <f t="shared" si="31"/>
        <v>17238.633333333331</v>
      </c>
      <c r="AG103" s="23">
        <f t="shared" si="32"/>
        <v>12.833333333333332</v>
      </c>
      <c r="AH103" s="20">
        <f t="shared" si="33"/>
        <v>35867.532467532474</v>
      </c>
      <c r="AI103" s="20">
        <f t="shared" si="34"/>
        <v>23778.101298701302</v>
      </c>
      <c r="AJ103" s="20">
        <f t="shared" si="45"/>
        <v>12089.431168831172</v>
      </c>
      <c r="AK103" s="47">
        <f t="shared" si="35"/>
        <v>1.4259259259259258</v>
      </c>
    </row>
    <row r="104" spans="1:37" x14ac:dyDescent="0.25">
      <c r="A104" s="8" t="s">
        <v>25</v>
      </c>
      <c r="C104" s="8" t="s">
        <v>128</v>
      </c>
      <c r="D104" s="8">
        <v>2</v>
      </c>
      <c r="E104" s="8">
        <v>0</v>
      </c>
      <c r="F104" s="8">
        <v>0</v>
      </c>
      <c r="G104" s="8">
        <f t="shared" si="36"/>
        <v>2</v>
      </c>
      <c r="K104" s="8">
        <f t="shared" si="37"/>
        <v>0</v>
      </c>
      <c r="L104" s="8">
        <v>0</v>
      </c>
      <c r="M104" s="8">
        <v>0</v>
      </c>
      <c r="N104" s="8">
        <v>0</v>
      </c>
      <c r="O104" s="8">
        <f t="shared" si="38"/>
        <v>0</v>
      </c>
      <c r="P104" s="31">
        <v>1.5</v>
      </c>
      <c r="Q104" s="31">
        <v>1.25</v>
      </c>
      <c r="R104" s="66">
        <f>IF(A104='Свод по районам'!$A$13,'Свод по районам'!$G$13,0)</f>
        <v>1.7836587027864101</v>
      </c>
      <c r="S104" s="76">
        <f>ROUND(((D104*$K$7+E104*$K$8+F104*$K$9)+(H104*$AA$7+I104*$AA$8+J104*$AA$9)+(L104*'по детям'!$K$10*0.2+M104*'по детям'!$K$11*0.2+N104*'по детям'!$K$12*0.2))*P104*Q104/1.302/12,1)</f>
        <v>96.3</v>
      </c>
      <c r="T104" s="12">
        <f t="shared" si="39"/>
        <v>36.112500000000004</v>
      </c>
      <c r="U104" s="11">
        <v>81.856210000000004</v>
      </c>
      <c r="V104" s="12">
        <f t="shared" si="40"/>
        <v>14.443789999999993</v>
      </c>
      <c r="W104" s="12">
        <f t="shared" si="27"/>
        <v>14.443789999999993</v>
      </c>
      <c r="X104" s="12">
        <f t="shared" si="28"/>
        <v>0</v>
      </c>
      <c r="Y104" s="20">
        <f t="shared" si="41"/>
        <v>-45.74371</v>
      </c>
      <c r="Z104" s="12">
        <f t="shared" si="42"/>
        <v>0</v>
      </c>
      <c r="AA104" s="12">
        <f t="shared" si="43"/>
        <v>-45.74371</v>
      </c>
      <c r="AB104" s="8">
        <v>1</v>
      </c>
      <c r="AC104" s="20">
        <f t="shared" si="29"/>
        <v>96300</v>
      </c>
      <c r="AD104" s="20">
        <f t="shared" si="44"/>
        <v>36112.500000000007</v>
      </c>
      <c r="AE104" s="20">
        <f t="shared" si="30"/>
        <v>81856.210000000006</v>
      </c>
      <c r="AF104" s="21">
        <f t="shared" si="31"/>
        <v>14443.789999999994</v>
      </c>
      <c r="AG104" s="23">
        <f t="shared" si="32"/>
        <v>2.6666666666666665</v>
      </c>
      <c r="AH104" s="20">
        <f t="shared" si="33"/>
        <v>36112.500000000007</v>
      </c>
      <c r="AI104" s="20">
        <f t="shared" si="34"/>
        <v>30696.078750000001</v>
      </c>
      <c r="AJ104" s="20">
        <f t="shared" si="45"/>
        <v>5416.4212500000067</v>
      </c>
      <c r="AK104" s="47">
        <f t="shared" si="35"/>
        <v>2.6666666666666665</v>
      </c>
    </row>
    <row r="105" spans="1:37" x14ac:dyDescent="0.25">
      <c r="A105" s="8" t="s">
        <v>25</v>
      </c>
      <c r="B105" s="8" t="s">
        <v>263</v>
      </c>
      <c r="C105" s="8" t="s">
        <v>129</v>
      </c>
      <c r="D105" s="8">
        <v>2</v>
      </c>
      <c r="E105" s="8">
        <v>3</v>
      </c>
      <c r="G105" s="8">
        <f t="shared" si="36"/>
        <v>5</v>
      </c>
      <c r="K105" s="8">
        <f t="shared" si="37"/>
        <v>0</v>
      </c>
      <c r="L105" s="8">
        <v>0</v>
      </c>
      <c r="M105" s="8">
        <v>0</v>
      </c>
      <c r="N105" s="8">
        <v>0</v>
      </c>
      <c r="O105" s="8">
        <f t="shared" si="38"/>
        <v>0</v>
      </c>
      <c r="P105" s="31">
        <v>1.5</v>
      </c>
      <c r="Q105" s="31">
        <v>1.25</v>
      </c>
      <c r="R105" s="66">
        <f>IF(A105='Свод по районам'!$A$13,'Свод по районам'!$G$13,0)</f>
        <v>1.7836587027864101</v>
      </c>
      <c r="S105" s="76">
        <f>ROUND(((D105*$K$7+E105*$K$8+F105*$K$9)+(H105*$AA$7+I105*$AA$8+J105*$AA$9)+(L105*'по детям'!$K$10*0.2+M105*'по детям'!$K$11*0.2+N105*'по детям'!$K$12*0.2))*P105*Q105/1.302/12,1)</f>
        <v>292.60000000000002</v>
      </c>
      <c r="T105" s="12">
        <f t="shared" si="39"/>
        <v>179.14285714285717</v>
      </c>
      <c r="U105" s="11">
        <v>162.45325</v>
      </c>
      <c r="V105" s="12">
        <f t="shared" si="40"/>
        <v>130.14675000000003</v>
      </c>
      <c r="W105" s="12">
        <f t="shared" si="27"/>
        <v>130.14675000000003</v>
      </c>
      <c r="X105" s="12">
        <f t="shared" si="28"/>
        <v>0</v>
      </c>
      <c r="Y105" s="20">
        <f t="shared" si="41"/>
        <v>16.68960714285717</v>
      </c>
      <c r="Z105" s="12">
        <f t="shared" si="42"/>
        <v>16.68960714285717</v>
      </c>
      <c r="AA105" s="12">
        <f t="shared" si="43"/>
        <v>0</v>
      </c>
      <c r="AB105" s="8">
        <v>5</v>
      </c>
      <c r="AC105" s="20">
        <f t="shared" si="29"/>
        <v>58520</v>
      </c>
      <c r="AD105" s="20">
        <f t="shared" si="44"/>
        <v>35828.571428571435</v>
      </c>
      <c r="AE105" s="20">
        <f t="shared" si="30"/>
        <v>32490.65</v>
      </c>
      <c r="AF105" s="21">
        <f t="shared" si="31"/>
        <v>26029.35</v>
      </c>
      <c r="AG105" s="23">
        <f t="shared" si="32"/>
        <v>8.1666666666666661</v>
      </c>
      <c r="AH105" s="20">
        <f t="shared" si="33"/>
        <v>35828.571428571435</v>
      </c>
      <c r="AI105" s="20">
        <f t="shared" si="34"/>
        <v>19892.234693877552</v>
      </c>
      <c r="AJ105" s="20">
        <f t="shared" si="45"/>
        <v>15936.336734693883</v>
      </c>
      <c r="AK105" s="47">
        <f t="shared" si="35"/>
        <v>1.6333333333333333</v>
      </c>
    </row>
    <row r="106" spans="1:37" x14ac:dyDescent="0.25">
      <c r="A106" s="8" t="s">
        <v>25</v>
      </c>
      <c r="B106" s="8" t="s">
        <v>263</v>
      </c>
      <c r="C106" s="8" t="s">
        <v>130</v>
      </c>
      <c r="D106" s="8">
        <v>2</v>
      </c>
      <c r="E106" s="8">
        <v>4</v>
      </c>
      <c r="G106" s="8">
        <f t="shared" si="36"/>
        <v>6</v>
      </c>
      <c r="H106" s="8">
        <v>1</v>
      </c>
      <c r="K106" s="8">
        <f t="shared" si="37"/>
        <v>1</v>
      </c>
      <c r="L106" s="8">
        <v>0</v>
      </c>
      <c r="M106" s="8">
        <v>1</v>
      </c>
      <c r="N106" s="8">
        <v>0</v>
      </c>
      <c r="O106" s="8">
        <f t="shared" si="38"/>
        <v>1</v>
      </c>
      <c r="P106" s="31">
        <v>1.5</v>
      </c>
      <c r="Q106" s="31">
        <v>1.25</v>
      </c>
      <c r="R106" s="66">
        <f>IF(A106='Свод по районам'!$A$13,'Свод по районам'!$G$13,0)</f>
        <v>1.7836587027864101</v>
      </c>
      <c r="S106" s="76">
        <f>ROUND(((D106*$K$7+E106*$K$8+F106*$K$9)+(H106*$AA$7+I106*$AA$8+J106*$AA$9)+(L106*'по детям'!$K$10*0.2+M106*'по детям'!$K$11*0.2+N106*'по детям'!$K$12*0.2))*P106*Q106/1.302/12,1)</f>
        <v>370.4</v>
      </c>
      <c r="T106" s="12">
        <f t="shared" si="39"/>
        <v>173.77276595744681</v>
      </c>
      <c r="U106" s="11">
        <v>258.03697999999997</v>
      </c>
      <c r="V106" s="12">
        <f t="shared" si="40"/>
        <v>112.36302000000001</v>
      </c>
      <c r="W106" s="12">
        <f t="shared" si="27"/>
        <v>112.36302000000001</v>
      </c>
      <c r="X106" s="12">
        <f t="shared" si="28"/>
        <v>0</v>
      </c>
      <c r="Y106" s="20">
        <f t="shared" si="41"/>
        <v>-84.264214042553164</v>
      </c>
      <c r="Z106" s="12">
        <f t="shared" si="42"/>
        <v>0</v>
      </c>
      <c r="AA106" s="12">
        <f t="shared" si="43"/>
        <v>-84.264214042553164</v>
      </c>
      <c r="AB106" s="8">
        <v>4.9000000000000004</v>
      </c>
      <c r="AC106" s="20">
        <f t="shared" si="29"/>
        <v>75591.836734693876</v>
      </c>
      <c r="AD106" s="20">
        <f t="shared" si="44"/>
        <v>35463.829787234041</v>
      </c>
      <c r="AE106" s="20">
        <f t="shared" si="30"/>
        <v>52660.608163265293</v>
      </c>
      <c r="AF106" s="21">
        <f t="shared" si="31"/>
        <v>22931.228571428583</v>
      </c>
      <c r="AG106" s="23">
        <f t="shared" si="32"/>
        <v>10.444444444444445</v>
      </c>
      <c r="AH106" s="20">
        <f t="shared" si="33"/>
        <v>35463.829787234041</v>
      </c>
      <c r="AI106" s="20">
        <f t="shared" si="34"/>
        <v>24705.668297872337</v>
      </c>
      <c r="AJ106" s="20">
        <f t="shared" si="45"/>
        <v>10758.161489361704</v>
      </c>
      <c r="AK106" s="47">
        <f t="shared" si="35"/>
        <v>2.1315192743764171</v>
      </c>
    </row>
    <row r="107" spans="1:37" x14ac:dyDescent="0.25">
      <c r="A107" s="8" t="s">
        <v>25</v>
      </c>
      <c r="B107" s="8" t="s">
        <v>263</v>
      </c>
      <c r="C107" s="8" t="s">
        <v>131</v>
      </c>
      <c r="D107" s="8">
        <v>2</v>
      </c>
      <c r="E107" s="8">
        <v>4</v>
      </c>
      <c r="G107" s="8">
        <f t="shared" si="36"/>
        <v>6</v>
      </c>
      <c r="H107" s="8">
        <v>1</v>
      </c>
      <c r="K107" s="8">
        <f t="shared" si="37"/>
        <v>1</v>
      </c>
      <c r="L107" s="8">
        <v>2</v>
      </c>
      <c r="M107" s="8">
        <v>0</v>
      </c>
      <c r="N107" s="8">
        <v>0</v>
      </c>
      <c r="O107" s="8">
        <f t="shared" si="38"/>
        <v>2</v>
      </c>
      <c r="P107" s="31">
        <v>1.5</v>
      </c>
      <c r="Q107" s="31">
        <v>1.25</v>
      </c>
      <c r="R107" s="66">
        <f>IF(A107='Свод по районам'!$A$13,'Свод по районам'!$G$13,0)</f>
        <v>1.7836587027864101</v>
      </c>
      <c r="S107" s="76">
        <f>ROUND(((D107*$K$7+E107*$K$8+F107*$K$9)+(H107*$AA$7+I107*$AA$8+J107*$AA$9)+(L107*'по детям'!$K$10*0.2+M107*'по детям'!$K$11*0.2+N107*'по детям'!$K$12*0.2))*P107*Q107/1.302/12,1)</f>
        <v>370.6</v>
      </c>
      <c r="T107" s="12">
        <f t="shared" si="39"/>
        <v>244.83255319148935</v>
      </c>
      <c r="U107" s="11">
        <v>232.41849999999999</v>
      </c>
      <c r="V107" s="12">
        <f t="shared" si="40"/>
        <v>138.18150000000003</v>
      </c>
      <c r="W107" s="12">
        <f t="shared" si="27"/>
        <v>138.18150000000003</v>
      </c>
      <c r="X107" s="12">
        <f t="shared" si="28"/>
        <v>0</v>
      </c>
      <c r="Y107" s="20">
        <f t="shared" si="41"/>
        <v>12.414053191489359</v>
      </c>
      <c r="Z107" s="12">
        <f t="shared" si="42"/>
        <v>12.414053191489359</v>
      </c>
      <c r="AA107" s="12">
        <f t="shared" si="43"/>
        <v>0</v>
      </c>
      <c r="AB107" s="8">
        <v>6.9</v>
      </c>
      <c r="AC107" s="20">
        <f t="shared" si="29"/>
        <v>53710.144927536232</v>
      </c>
      <c r="AD107" s="20">
        <f t="shared" si="44"/>
        <v>35482.978723404252</v>
      </c>
      <c r="AE107" s="20">
        <f t="shared" si="30"/>
        <v>33683.840579710144</v>
      </c>
      <c r="AF107" s="21">
        <f t="shared" si="31"/>
        <v>20026.304347826088</v>
      </c>
      <c r="AG107" s="23">
        <f t="shared" si="32"/>
        <v>10.444444444444445</v>
      </c>
      <c r="AH107" s="20">
        <f t="shared" si="33"/>
        <v>35482.97872340426</v>
      </c>
      <c r="AI107" s="20">
        <f t="shared" si="34"/>
        <v>22252.83510638298</v>
      </c>
      <c r="AJ107" s="20">
        <f t="shared" si="45"/>
        <v>13230.14361702128</v>
      </c>
      <c r="AK107" s="47">
        <f t="shared" si="35"/>
        <v>1.5136876006441224</v>
      </c>
    </row>
    <row r="108" spans="1:37" x14ac:dyDescent="0.25">
      <c r="A108" s="8" t="s">
        <v>25</v>
      </c>
      <c r="C108" s="8" t="s">
        <v>132</v>
      </c>
      <c r="D108" s="8">
        <v>4</v>
      </c>
      <c r="E108" s="8">
        <v>4</v>
      </c>
      <c r="F108" s="8">
        <v>1</v>
      </c>
      <c r="G108" s="8">
        <f t="shared" si="36"/>
        <v>9</v>
      </c>
      <c r="H108" s="8">
        <v>3</v>
      </c>
      <c r="K108" s="8">
        <f t="shared" si="37"/>
        <v>3</v>
      </c>
      <c r="L108" s="8">
        <v>0</v>
      </c>
      <c r="M108" s="8">
        <v>0</v>
      </c>
      <c r="N108" s="8">
        <v>0</v>
      </c>
      <c r="O108" s="8">
        <f t="shared" si="38"/>
        <v>0</v>
      </c>
      <c r="P108" s="31">
        <v>1.5</v>
      </c>
      <c r="Q108" s="31">
        <v>1.25</v>
      </c>
      <c r="R108" s="66">
        <f>IF(A108='Свод по районам'!$A$13,'Свод по районам'!$G$13,0)</f>
        <v>1.7836587027864101</v>
      </c>
      <c r="S108" s="76">
        <f>ROUND(((D108*$K$7+E108*$K$8+F108*$K$9)+(H108*$AA$7+I108*$AA$8+J108*$AA$9)+(L108*'по детям'!$K$10*0.2+M108*'по детям'!$K$11*0.2+N108*'по детям'!$K$12*0.2))*P108*Q108/1.302/12,1)</f>
        <v>560.9</v>
      </c>
      <c r="T108" s="12">
        <f t="shared" si="39"/>
        <v>347.05687499999999</v>
      </c>
      <c r="U108" s="11">
        <v>296.12939</v>
      </c>
      <c r="V108" s="12">
        <f t="shared" si="40"/>
        <v>264.77060999999998</v>
      </c>
      <c r="W108" s="12">
        <f t="shared" si="27"/>
        <v>264.77060999999998</v>
      </c>
      <c r="X108" s="12">
        <f t="shared" si="28"/>
        <v>0</v>
      </c>
      <c r="Y108" s="20">
        <f t="shared" si="41"/>
        <v>50.92748499999999</v>
      </c>
      <c r="Z108" s="12">
        <f t="shared" si="42"/>
        <v>50.92748499999999</v>
      </c>
      <c r="AA108" s="12">
        <f t="shared" si="43"/>
        <v>0</v>
      </c>
      <c r="AB108" s="8">
        <v>9.9</v>
      </c>
      <c r="AC108" s="20">
        <f t="shared" si="29"/>
        <v>56656.565656565654</v>
      </c>
      <c r="AD108" s="20">
        <f t="shared" si="44"/>
        <v>35056.25</v>
      </c>
      <c r="AE108" s="20">
        <f t="shared" si="30"/>
        <v>29912.059595959592</v>
      </c>
      <c r="AF108" s="21">
        <f t="shared" si="31"/>
        <v>26744.506060606062</v>
      </c>
      <c r="AG108" s="23">
        <f t="shared" si="32"/>
        <v>16</v>
      </c>
      <c r="AH108" s="20">
        <f t="shared" si="33"/>
        <v>35056.25</v>
      </c>
      <c r="AI108" s="20">
        <f t="shared" si="34"/>
        <v>18508.086875000001</v>
      </c>
      <c r="AJ108" s="20">
        <f t="shared" si="45"/>
        <v>16548.163124999999</v>
      </c>
      <c r="AK108" s="47">
        <f t="shared" si="35"/>
        <v>1.6161616161616161</v>
      </c>
    </row>
    <row r="109" spans="1:37" x14ac:dyDescent="0.25">
      <c r="A109" s="8" t="s">
        <v>25</v>
      </c>
      <c r="C109" s="8" t="s">
        <v>133</v>
      </c>
      <c r="D109" s="8">
        <v>4</v>
      </c>
      <c r="E109" s="8">
        <v>5</v>
      </c>
      <c r="G109" s="8">
        <f t="shared" si="36"/>
        <v>9</v>
      </c>
      <c r="I109" s="8">
        <v>1</v>
      </c>
      <c r="K109" s="8">
        <f t="shared" si="37"/>
        <v>1</v>
      </c>
      <c r="L109" s="8">
        <v>1</v>
      </c>
      <c r="M109" s="8">
        <v>1</v>
      </c>
      <c r="N109" s="8">
        <v>0</v>
      </c>
      <c r="O109" s="8">
        <f t="shared" si="38"/>
        <v>2</v>
      </c>
      <c r="P109" s="31">
        <v>1.5</v>
      </c>
      <c r="Q109" s="31">
        <v>1.25</v>
      </c>
      <c r="R109" s="66">
        <f>IF(A109='Свод по районам'!$A$13,'Свод по районам'!$G$13,0)</f>
        <v>1.7836587027864101</v>
      </c>
      <c r="S109" s="76">
        <f>ROUND(((D109*$K$7+E109*$K$8+F109*$K$9)+(H109*$AA$7+I109*$AA$8+J109*$AA$9)+(L109*'по детям'!$K$10*0.2+M109*'по детям'!$K$11*0.2+N109*'по детям'!$K$12*0.2))*P109*Q109/1.302/12,1)</f>
        <v>536.70000000000005</v>
      </c>
      <c r="T109" s="12">
        <f t="shared" si="39"/>
        <v>372.9275735294118</v>
      </c>
      <c r="U109" s="11">
        <v>351.74632000000003</v>
      </c>
      <c r="V109" s="12">
        <f t="shared" si="40"/>
        <v>184.95368000000002</v>
      </c>
      <c r="W109" s="12">
        <f t="shared" si="27"/>
        <v>184.95368000000002</v>
      </c>
      <c r="X109" s="12">
        <f t="shared" si="28"/>
        <v>0</v>
      </c>
      <c r="Y109" s="20">
        <f t="shared" si="41"/>
        <v>21.181253529411777</v>
      </c>
      <c r="Z109" s="12">
        <f t="shared" si="42"/>
        <v>21.181253529411777</v>
      </c>
      <c r="AA109" s="12">
        <f t="shared" si="43"/>
        <v>0</v>
      </c>
      <c r="AB109" s="8">
        <v>10.5</v>
      </c>
      <c r="AC109" s="20">
        <f t="shared" si="29"/>
        <v>51114.285714285717</v>
      </c>
      <c r="AD109" s="20">
        <f t="shared" si="44"/>
        <v>35516.911764705888</v>
      </c>
      <c r="AE109" s="20">
        <f t="shared" si="30"/>
        <v>33499.649523809523</v>
      </c>
      <c r="AF109" s="21">
        <f t="shared" si="31"/>
        <v>17614.636190476194</v>
      </c>
      <c r="AG109" s="23">
        <f t="shared" si="32"/>
        <v>15.111111111111111</v>
      </c>
      <c r="AH109" s="20">
        <f t="shared" si="33"/>
        <v>35516.911764705888</v>
      </c>
      <c r="AI109" s="20">
        <f t="shared" si="34"/>
        <v>23277.33</v>
      </c>
      <c r="AJ109" s="20">
        <f t="shared" si="45"/>
        <v>12239.581764705887</v>
      </c>
      <c r="AK109" s="47">
        <f t="shared" si="35"/>
        <v>1.4391534391534391</v>
      </c>
    </row>
    <row r="110" spans="1:37" x14ac:dyDescent="0.25">
      <c r="A110" s="8" t="s">
        <v>25</v>
      </c>
      <c r="C110" s="8" t="s">
        <v>134</v>
      </c>
      <c r="D110" s="8">
        <v>4</v>
      </c>
      <c r="E110" s="8">
        <v>5</v>
      </c>
      <c r="F110" s="8">
        <v>0</v>
      </c>
      <c r="G110" s="8">
        <f t="shared" si="36"/>
        <v>9</v>
      </c>
      <c r="H110" s="8">
        <v>1</v>
      </c>
      <c r="I110" s="8">
        <v>1</v>
      </c>
      <c r="K110" s="8">
        <f t="shared" si="37"/>
        <v>2</v>
      </c>
      <c r="L110" s="8">
        <v>0</v>
      </c>
      <c r="M110" s="8">
        <v>1</v>
      </c>
      <c r="N110" s="8">
        <v>0</v>
      </c>
      <c r="O110" s="8">
        <f t="shared" si="38"/>
        <v>1</v>
      </c>
      <c r="P110" s="31">
        <v>1.5</v>
      </c>
      <c r="Q110" s="31">
        <v>1.25</v>
      </c>
      <c r="R110" s="66">
        <f>IF(A110='Свод по районам'!$A$13,'Свод по районам'!$G$13,0)</f>
        <v>1.7836587027864101</v>
      </c>
      <c r="S110" s="76">
        <f>ROUND(((D110*$K$7+E110*$K$8+F110*$K$9)+(H110*$AA$7+I110*$AA$8+J110*$AA$9)+(L110*'по детям'!$K$10*0.2+M110*'по детям'!$K$11*0.2+N110*'по детям'!$K$12*0.2))*P110*Q110/1.302/12,1)</f>
        <v>548</v>
      </c>
      <c r="T110" s="12">
        <f t="shared" si="39"/>
        <v>362.85428571428577</v>
      </c>
      <c r="U110" s="11">
        <v>361.56314999999995</v>
      </c>
      <c r="V110" s="12">
        <f t="shared" si="40"/>
        <v>186.43685000000005</v>
      </c>
      <c r="W110" s="12">
        <f t="shared" si="27"/>
        <v>186.43685000000005</v>
      </c>
      <c r="X110" s="12">
        <f t="shared" si="28"/>
        <v>0</v>
      </c>
      <c r="Y110" s="20">
        <f t="shared" si="41"/>
        <v>1.2911357142858151</v>
      </c>
      <c r="Z110" s="12">
        <f t="shared" si="42"/>
        <v>1.2911357142858151</v>
      </c>
      <c r="AA110" s="12">
        <f t="shared" si="43"/>
        <v>0</v>
      </c>
      <c r="AB110" s="8">
        <v>10.3</v>
      </c>
      <c r="AC110" s="20">
        <f t="shared" si="29"/>
        <v>53203.883495145623</v>
      </c>
      <c r="AD110" s="20">
        <f t="shared" si="44"/>
        <v>35228.571428571428</v>
      </c>
      <c r="AE110" s="20">
        <f t="shared" si="30"/>
        <v>35103.218446601939</v>
      </c>
      <c r="AF110" s="21">
        <f t="shared" si="31"/>
        <v>18100.665048543684</v>
      </c>
      <c r="AG110" s="23">
        <f t="shared" si="32"/>
        <v>15.555555555555555</v>
      </c>
      <c r="AH110" s="20">
        <f t="shared" si="33"/>
        <v>35228.571428571428</v>
      </c>
      <c r="AI110" s="20">
        <f t="shared" si="34"/>
        <v>23243.345357142854</v>
      </c>
      <c r="AJ110" s="20">
        <f t="shared" si="45"/>
        <v>11985.226071428573</v>
      </c>
      <c r="AK110" s="47">
        <f t="shared" si="35"/>
        <v>1.5102481121898597</v>
      </c>
    </row>
    <row r="111" spans="1:37" x14ac:dyDescent="0.25">
      <c r="A111" s="8" t="s">
        <v>25</v>
      </c>
      <c r="B111" s="8" t="s">
        <v>263</v>
      </c>
      <c r="C111" s="8" t="s">
        <v>135</v>
      </c>
      <c r="D111" s="8">
        <v>3</v>
      </c>
      <c r="E111" s="8">
        <v>4</v>
      </c>
      <c r="F111" s="8">
        <v>1</v>
      </c>
      <c r="G111" s="8">
        <f t="shared" si="36"/>
        <v>8</v>
      </c>
      <c r="H111" s="8">
        <v>1</v>
      </c>
      <c r="K111" s="8">
        <f t="shared" si="37"/>
        <v>1</v>
      </c>
      <c r="L111" s="8">
        <v>1</v>
      </c>
      <c r="M111" s="8">
        <v>1</v>
      </c>
      <c r="N111" s="8">
        <v>0</v>
      </c>
      <c r="O111" s="8">
        <f t="shared" si="38"/>
        <v>2</v>
      </c>
      <c r="P111" s="31">
        <v>1.5</v>
      </c>
      <c r="Q111" s="31">
        <v>1.25</v>
      </c>
      <c r="R111" s="66">
        <f>IF(A111='Свод по районам'!$A$13,'Свод по районам'!$G$13,0)</f>
        <v>1.7836587027864101</v>
      </c>
      <c r="S111" s="76">
        <f>ROUND(((D111*$K$7+E111*$K$8+F111*$K$9)+(H111*$AA$7+I111*$AA$8+J111*$AA$9)+(L111*'по детям'!$K$10*0.2+M111*'по детям'!$K$11*0.2+N111*'по детям'!$K$12*0.2))*P111*Q111/1.302/12,1)</f>
        <v>490.3</v>
      </c>
      <c r="T111" s="12">
        <f t="shared" si="39"/>
        <v>316.71798387096777</v>
      </c>
      <c r="U111" s="11">
        <v>327.60585000000009</v>
      </c>
      <c r="V111" s="12">
        <f t="shared" si="40"/>
        <v>162.69414999999992</v>
      </c>
      <c r="W111" s="12">
        <f t="shared" si="27"/>
        <v>162.69414999999992</v>
      </c>
      <c r="X111" s="12">
        <f t="shared" si="28"/>
        <v>0</v>
      </c>
      <c r="Y111" s="20">
        <f t="shared" si="41"/>
        <v>-10.887866129032318</v>
      </c>
      <c r="Z111" s="12">
        <f t="shared" si="42"/>
        <v>0</v>
      </c>
      <c r="AA111" s="12">
        <f t="shared" si="43"/>
        <v>-10.887866129032318</v>
      </c>
      <c r="AB111" s="8">
        <v>8.9</v>
      </c>
      <c r="AC111" s="20">
        <f t="shared" si="29"/>
        <v>55089.887640449437</v>
      </c>
      <c r="AD111" s="20">
        <f t="shared" si="44"/>
        <v>35586.290322580644</v>
      </c>
      <c r="AE111" s="20">
        <f t="shared" si="30"/>
        <v>36809.646067415742</v>
      </c>
      <c r="AF111" s="21">
        <f t="shared" si="31"/>
        <v>18280.241573033694</v>
      </c>
      <c r="AG111" s="23">
        <f t="shared" si="32"/>
        <v>13.777777777777777</v>
      </c>
      <c r="AH111" s="20">
        <f t="shared" si="33"/>
        <v>35586.290322580651</v>
      </c>
      <c r="AI111" s="20">
        <f t="shared" si="34"/>
        <v>23777.843951612911</v>
      </c>
      <c r="AJ111" s="20">
        <f t="shared" si="45"/>
        <v>11808.44637096774</v>
      </c>
      <c r="AK111" s="47">
        <f t="shared" si="35"/>
        <v>1.5480649188514355</v>
      </c>
    </row>
    <row r="112" spans="1:37" x14ac:dyDescent="0.25">
      <c r="A112" s="8" t="s">
        <v>26</v>
      </c>
      <c r="B112" s="8" t="s">
        <v>263</v>
      </c>
      <c r="C112" s="8" t="s">
        <v>136</v>
      </c>
      <c r="D112" s="8">
        <v>2</v>
      </c>
      <c r="G112" s="8">
        <f t="shared" si="36"/>
        <v>2</v>
      </c>
      <c r="K112" s="8">
        <f t="shared" si="37"/>
        <v>0</v>
      </c>
      <c r="L112" s="8">
        <v>0</v>
      </c>
      <c r="M112" s="8">
        <v>0</v>
      </c>
      <c r="N112" s="8">
        <v>0</v>
      </c>
      <c r="O112" s="8">
        <f t="shared" si="38"/>
        <v>0</v>
      </c>
      <c r="P112" s="31">
        <v>1.5</v>
      </c>
      <c r="Q112" s="31">
        <v>1.25</v>
      </c>
      <c r="R112" s="66">
        <f>IF(A112='Свод по районам'!$A$14,'Свод по районам'!$G$14,0)</f>
        <v>1.4680097151522031</v>
      </c>
      <c r="S112" s="76">
        <f>ROUND(((D112*$K$7+E112*$K$8+F112*$K$9)+(H112*$AA$7+I112*$AA$8+J112*$AA$9)+(L112*'по детям'!$K$10*0.2+M112*'по детям'!$K$11*0.2+N112*'по детям'!$K$12*0.2))*P112*Q112/1.302/12,1)</f>
        <v>96.3</v>
      </c>
      <c r="T112" s="12">
        <f t="shared" si="39"/>
        <v>72.225000000000009</v>
      </c>
      <c r="U112" s="11">
        <v>88.492499999999993</v>
      </c>
      <c r="V112" s="12">
        <f t="shared" si="40"/>
        <v>7.8075000000000045</v>
      </c>
      <c r="W112" s="12">
        <f t="shared" si="27"/>
        <v>7.8075000000000045</v>
      </c>
      <c r="X112" s="12">
        <f t="shared" si="28"/>
        <v>0</v>
      </c>
      <c r="Y112" s="20">
        <f t="shared" si="41"/>
        <v>-16.267499999999984</v>
      </c>
      <c r="Z112" s="12">
        <f t="shared" si="42"/>
        <v>0</v>
      </c>
      <c r="AA112" s="12">
        <f t="shared" si="43"/>
        <v>-16.267499999999984</v>
      </c>
      <c r="AB112" s="8">
        <v>2</v>
      </c>
      <c r="AC112" s="20">
        <f t="shared" si="29"/>
        <v>48150</v>
      </c>
      <c r="AD112" s="20">
        <f t="shared" si="44"/>
        <v>36112.500000000007</v>
      </c>
      <c r="AE112" s="20">
        <f t="shared" si="30"/>
        <v>44246.249999999993</v>
      </c>
      <c r="AF112" s="21">
        <f t="shared" si="31"/>
        <v>3903.7500000000073</v>
      </c>
      <c r="AG112" s="23">
        <f t="shared" si="32"/>
        <v>2.6666666666666665</v>
      </c>
      <c r="AH112" s="20">
        <f t="shared" si="33"/>
        <v>36112.500000000007</v>
      </c>
      <c r="AI112" s="20">
        <f t="shared" si="34"/>
        <v>33184.6875</v>
      </c>
      <c r="AJ112" s="20">
        <f t="shared" si="45"/>
        <v>2927.8125000000073</v>
      </c>
      <c r="AK112" s="47">
        <f t="shared" si="35"/>
        <v>1.3333333333333333</v>
      </c>
    </row>
    <row r="113" spans="1:37" x14ac:dyDescent="0.25">
      <c r="A113" s="8" t="s">
        <v>26</v>
      </c>
      <c r="B113" s="8" t="s">
        <v>263</v>
      </c>
      <c r="C113" s="8" t="s">
        <v>137</v>
      </c>
      <c r="D113" s="8">
        <v>1</v>
      </c>
      <c r="G113" s="8">
        <f t="shared" si="36"/>
        <v>1</v>
      </c>
      <c r="K113" s="8">
        <f t="shared" si="37"/>
        <v>0</v>
      </c>
      <c r="L113" s="8">
        <v>0</v>
      </c>
      <c r="M113" s="8">
        <v>0</v>
      </c>
      <c r="N113" s="8">
        <v>0</v>
      </c>
      <c r="O113" s="8">
        <f t="shared" si="38"/>
        <v>0</v>
      </c>
      <c r="P113" s="31">
        <v>1.5</v>
      </c>
      <c r="Q113" s="31">
        <v>1.25</v>
      </c>
      <c r="R113" s="66">
        <f>IF(A113='Свод по районам'!$A$14,'Свод по районам'!$G$14,0)</f>
        <v>1.4680097151522031</v>
      </c>
      <c r="S113" s="76">
        <f>ROUND(((D113*$K$7+E113*$K$8+F113*$K$9)+(H113*$AA$7+I113*$AA$8+J113*$AA$9)+(L113*'по детям'!$K$10*0.2+M113*'по детям'!$K$11*0.2+N113*'по детям'!$K$12*0.2))*P113*Q113/1.302/12,1)</f>
        <v>48.2</v>
      </c>
      <c r="T113" s="12">
        <f t="shared" si="39"/>
        <v>48.2</v>
      </c>
      <c r="U113" s="11">
        <v>28.370420000000003</v>
      </c>
      <c r="V113" s="12">
        <f t="shared" si="40"/>
        <v>19.82958</v>
      </c>
      <c r="W113" s="12">
        <f>IF(V113&gt;0,V113,0)</f>
        <v>19.82958</v>
      </c>
      <c r="X113" s="12">
        <f>IF(V113&lt;0,V113,0)</f>
        <v>0</v>
      </c>
      <c r="Y113" s="20">
        <f t="shared" si="41"/>
        <v>19.82958</v>
      </c>
      <c r="Z113" s="12">
        <f t="shared" si="42"/>
        <v>19.82958</v>
      </c>
      <c r="AA113" s="12">
        <f t="shared" si="43"/>
        <v>0</v>
      </c>
      <c r="AB113" s="8">
        <v>0</v>
      </c>
      <c r="AC113" s="20" t="e">
        <f t="shared" si="29"/>
        <v>#DIV/0!</v>
      </c>
      <c r="AD113" s="20" t="e">
        <f t="shared" si="44"/>
        <v>#DIV/0!</v>
      </c>
      <c r="AE113" s="20" t="e">
        <f t="shared" si="30"/>
        <v>#DIV/0!</v>
      </c>
      <c r="AF113" s="21" t="e">
        <f t="shared" si="31"/>
        <v>#DIV/0!</v>
      </c>
      <c r="AG113" s="23">
        <f t="shared" si="32"/>
        <v>1.3333333333333333</v>
      </c>
      <c r="AH113" s="20">
        <f t="shared" si="33"/>
        <v>36150.000000000007</v>
      </c>
      <c r="AI113" s="20">
        <f t="shared" si="34"/>
        <v>21277.815000000002</v>
      </c>
      <c r="AJ113" s="20">
        <f t="shared" si="45"/>
        <v>14872.185000000005</v>
      </c>
      <c r="AK113" s="47">
        <v>1</v>
      </c>
    </row>
    <row r="114" spans="1:37" x14ac:dyDescent="0.25">
      <c r="A114" s="8" t="s">
        <v>26</v>
      </c>
      <c r="C114" s="8" t="s">
        <v>138</v>
      </c>
      <c r="D114" s="8">
        <v>2</v>
      </c>
      <c r="G114" s="8">
        <f t="shared" si="36"/>
        <v>2</v>
      </c>
      <c r="H114" s="8">
        <v>2</v>
      </c>
      <c r="K114" s="8">
        <f t="shared" si="37"/>
        <v>2</v>
      </c>
      <c r="L114" s="8">
        <v>1</v>
      </c>
      <c r="M114" s="8">
        <v>0</v>
      </c>
      <c r="N114" s="8">
        <v>0</v>
      </c>
      <c r="O114" s="8">
        <f t="shared" si="38"/>
        <v>1</v>
      </c>
      <c r="P114" s="31">
        <v>1.5</v>
      </c>
      <c r="Q114" s="31">
        <v>1.25</v>
      </c>
      <c r="R114" s="66">
        <f>IF(A114='Свод по районам'!$A$14,'Свод по районам'!$G$14,0)</f>
        <v>1.4680097151522031</v>
      </c>
      <c r="S114" s="76">
        <f>ROUND(((D114*$K$7+E114*$K$8+F114*$K$9)+(H114*$AA$7+I114*$AA$8+J114*$AA$9)+(L114*'по детям'!$K$10*0.2+M114*'по детям'!$K$11*0.2+N114*'по детям'!$K$12*0.2))*P114*Q114/1.302/12,1)</f>
        <v>120.2</v>
      </c>
      <c r="T114" s="12">
        <f t="shared" si="39"/>
        <v>33.806250000000006</v>
      </c>
      <c r="U114" s="11">
        <v>98.075170000000014</v>
      </c>
      <c r="V114" s="12">
        <f t="shared" si="40"/>
        <v>22.124829999999989</v>
      </c>
      <c r="W114" s="12">
        <f t="shared" si="27"/>
        <v>22.124829999999989</v>
      </c>
      <c r="X114" s="12">
        <f t="shared" si="28"/>
        <v>0</v>
      </c>
      <c r="Y114" s="20">
        <f t="shared" si="41"/>
        <v>-64.268920000000008</v>
      </c>
      <c r="Z114" s="12">
        <f t="shared" si="42"/>
        <v>0</v>
      </c>
      <c r="AA114" s="12">
        <f t="shared" si="43"/>
        <v>-64.268920000000008</v>
      </c>
      <c r="AB114" s="8">
        <v>1</v>
      </c>
      <c r="AC114" s="20">
        <f t="shared" si="29"/>
        <v>120200</v>
      </c>
      <c r="AD114" s="20">
        <f t="shared" si="44"/>
        <v>33806.250000000007</v>
      </c>
      <c r="AE114" s="20">
        <f t="shared" si="30"/>
        <v>98075.170000000013</v>
      </c>
      <c r="AF114" s="21">
        <f t="shared" si="31"/>
        <v>22124.829999999987</v>
      </c>
      <c r="AG114" s="23">
        <f t="shared" si="32"/>
        <v>3.5555555555555554</v>
      </c>
      <c r="AH114" s="20">
        <f t="shared" si="33"/>
        <v>33806.250000000007</v>
      </c>
      <c r="AI114" s="20">
        <f t="shared" si="34"/>
        <v>27583.641562500005</v>
      </c>
      <c r="AJ114" s="20">
        <f t="shared" si="45"/>
        <v>6222.6084375000028</v>
      </c>
      <c r="AK114" s="47">
        <f t="shared" si="35"/>
        <v>3.5555555555555554</v>
      </c>
    </row>
    <row r="115" spans="1:37" x14ac:dyDescent="0.25">
      <c r="A115" s="8" t="s">
        <v>26</v>
      </c>
      <c r="B115" s="8" t="s">
        <v>263</v>
      </c>
      <c r="C115" s="8" t="s">
        <v>139</v>
      </c>
      <c r="D115" s="8">
        <v>2</v>
      </c>
      <c r="G115" s="8">
        <f t="shared" si="36"/>
        <v>2</v>
      </c>
      <c r="K115" s="8">
        <f t="shared" si="37"/>
        <v>0</v>
      </c>
      <c r="L115" s="8">
        <v>0</v>
      </c>
      <c r="M115" s="8">
        <v>0</v>
      </c>
      <c r="N115" s="8">
        <v>0</v>
      </c>
      <c r="O115" s="8">
        <f t="shared" si="38"/>
        <v>0</v>
      </c>
      <c r="P115" s="31">
        <v>1.5</v>
      </c>
      <c r="Q115" s="31">
        <v>1.25</v>
      </c>
      <c r="R115" s="66">
        <f>IF(A115='Свод по районам'!$A$14,'Свод по районам'!$G$14,0)</f>
        <v>1.4680097151522031</v>
      </c>
      <c r="S115" s="76">
        <f>ROUND(((D115*$K$7+E115*$K$8+F115*$K$9)+(H115*$AA$7+I115*$AA$8+J115*$AA$9)+(L115*'по детям'!$K$10*0.2+M115*'по детям'!$K$11*0.2+N115*'по детям'!$K$12*0.2))*P115*Q115/1.302/12,1)</f>
        <v>96.3</v>
      </c>
      <c r="T115" s="12">
        <f t="shared" si="39"/>
        <v>96.3</v>
      </c>
      <c r="U115" s="11">
        <v>87.519590000000008</v>
      </c>
      <c r="V115" s="12">
        <f t="shared" si="40"/>
        <v>8.7804099999999892</v>
      </c>
      <c r="W115" s="12">
        <f t="shared" si="27"/>
        <v>8.7804099999999892</v>
      </c>
      <c r="X115" s="12">
        <f t="shared" si="28"/>
        <v>0</v>
      </c>
      <c r="Y115" s="20">
        <f t="shared" si="41"/>
        <v>8.7804099999999892</v>
      </c>
      <c r="Z115" s="12">
        <f t="shared" si="42"/>
        <v>8.7804099999999892</v>
      </c>
      <c r="AA115" s="12">
        <f t="shared" si="43"/>
        <v>0</v>
      </c>
      <c r="AB115" s="8">
        <v>0</v>
      </c>
      <c r="AC115" s="20" t="e">
        <f t="shared" si="29"/>
        <v>#DIV/0!</v>
      </c>
      <c r="AD115" s="20" t="e">
        <f t="shared" si="44"/>
        <v>#DIV/0!</v>
      </c>
      <c r="AE115" s="20" t="e">
        <f t="shared" si="30"/>
        <v>#DIV/0!</v>
      </c>
      <c r="AF115" s="21" t="e">
        <f t="shared" si="31"/>
        <v>#DIV/0!</v>
      </c>
      <c r="AG115" s="23">
        <f t="shared" si="32"/>
        <v>2.6666666666666665</v>
      </c>
      <c r="AH115" s="20">
        <f t="shared" si="33"/>
        <v>36112.500000000007</v>
      </c>
      <c r="AI115" s="20">
        <f t="shared" si="34"/>
        <v>32819.846250000002</v>
      </c>
      <c r="AJ115" s="20">
        <f t="shared" si="45"/>
        <v>3292.6537500000049</v>
      </c>
      <c r="AK115" s="47">
        <v>1</v>
      </c>
    </row>
    <row r="116" spans="1:37" x14ac:dyDescent="0.25">
      <c r="A116" s="8" t="s">
        <v>26</v>
      </c>
      <c r="B116" s="8" t="s">
        <v>263</v>
      </c>
      <c r="C116" s="8" t="s">
        <v>140</v>
      </c>
      <c r="D116" s="8">
        <v>2</v>
      </c>
      <c r="G116" s="8">
        <f t="shared" si="36"/>
        <v>2</v>
      </c>
      <c r="K116" s="8">
        <f t="shared" si="37"/>
        <v>0</v>
      </c>
      <c r="L116" s="8">
        <v>1</v>
      </c>
      <c r="M116" s="8">
        <v>0</v>
      </c>
      <c r="N116" s="8">
        <v>0</v>
      </c>
      <c r="O116" s="8">
        <f t="shared" si="38"/>
        <v>1</v>
      </c>
      <c r="P116" s="31">
        <v>1.5</v>
      </c>
      <c r="Q116" s="31">
        <v>1.25</v>
      </c>
      <c r="R116" s="66">
        <f>IF(A116='Свод по районам'!$A$14,'Свод по районам'!$G$14,0)</f>
        <v>1.4680097151522031</v>
      </c>
      <c r="S116" s="76">
        <f>ROUND(((D116*$K$7+E116*$K$8+F116*$K$9)+(H116*$AA$7+I116*$AA$8+J116*$AA$9)+(L116*'по детям'!$K$10*0.2+M116*'по детям'!$K$11*0.2+N116*'по детям'!$K$12*0.2))*P116*Q116/1.302/12,1)</f>
        <v>96.8</v>
      </c>
      <c r="T116" s="12">
        <f t="shared" si="39"/>
        <v>61.71</v>
      </c>
      <c r="U116" s="11">
        <v>78.729320000000001</v>
      </c>
      <c r="V116" s="12">
        <f t="shared" si="40"/>
        <v>18.070679999999996</v>
      </c>
      <c r="W116" s="12">
        <f t="shared" si="27"/>
        <v>18.070679999999996</v>
      </c>
      <c r="X116" s="12">
        <f t="shared" si="28"/>
        <v>0</v>
      </c>
      <c r="Y116" s="20">
        <f t="shared" si="41"/>
        <v>-17.01932</v>
      </c>
      <c r="Z116" s="12">
        <f t="shared" si="42"/>
        <v>0</v>
      </c>
      <c r="AA116" s="12">
        <f t="shared" si="43"/>
        <v>-17.01932</v>
      </c>
      <c r="AB116" s="8">
        <v>1.7</v>
      </c>
      <c r="AC116" s="20">
        <f t="shared" si="29"/>
        <v>56941.176470588231</v>
      </c>
      <c r="AD116" s="20">
        <f t="shared" si="44"/>
        <v>36300.000000000007</v>
      </c>
      <c r="AE116" s="20">
        <f t="shared" si="30"/>
        <v>46311.364705882355</v>
      </c>
      <c r="AF116" s="21">
        <f t="shared" si="31"/>
        <v>10629.811764705875</v>
      </c>
      <c r="AG116" s="23">
        <f t="shared" si="32"/>
        <v>2.6666666666666665</v>
      </c>
      <c r="AH116" s="20">
        <f t="shared" si="33"/>
        <v>36300.000000000007</v>
      </c>
      <c r="AI116" s="20">
        <f t="shared" si="34"/>
        <v>29523.494999999999</v>
      </c>
      <c r="AJ116" s="20">
        <f t="shared" si="45"/>
        <v>6776.5050000000083</v>
      </c>
      <c r="AK116" s="47">
        <f t="shared" si="35"/>
        <v>1.5686274509803921</v>
      </c>
    </row>
    <row r="117" spans="1:37" x14ac:dyDescent="0.25">
      <c r="A117" s="8" t="s">
        <v>26</v>
      </c>
      <c r="C117" s="8" t="s">
        <v>141</v>
      </c>
      <c r="D117" s="8">
        <v>2</v>
      </c>
      <c r="E117" s="8">
        <v>5</v>
      </c>
      <c r="F117" s="8">
        <v>0</v>
      </c>
      <c r="G117" s="8">
        <f t="shared" si="36"/>
        <v>7</v>
      </c>
      <c r="K117" s="8">
        <f t="shared" si="37"/>
        <v>0</v>
      </c>
      <c r="L117" s="8">
        <v>0</v>
      </c>
      <c r="M117" s="8">
        <v>0</v>
      </c>
      <c r="N117" s="8">
        <v>0</v>
      </c>
      <c r="O117" s="8">
        <f t="shared" si="38"/>
        <v>0</v>
      </c>
      <c r="P117" s="31">
        <v>1.5</v>
      </c>
      <c r="Q117" s="31">
        <v>1.25</v>
      </c>
      <c r="R117" s="66">
        <f>IF(A117='Свод по районам'!$A$14,'Свод по районам'!$G$14,0)</f>
        <v>1.4680097151522031</v>
      </c>
      <c r="S117" s="76">
        <f>ROUND(((D117*$K$7+E117*$K$8+F117*$K$9)+(H117*$AA$7+I117*$AA$8+J117*$AA$9)+(L117*'по детям'!$K$10*0.2+M117*'по детям'!$K$11*0.2+N117*'по детям'!$K$12*0.2))*P117*Q117/1.302/12,1)</f>
        <v>423.4</v>
      </c>
      <c r="T117" s="12">
        <f t="shared" si="39"/>
        <v>232.57183098591551</v>
      </c>
      <c r="U117" s="11">
        <v>242.18092000000001</v>
      </c>
      <c r="V117" s="12">
        <f t="shared" si="40"/>
        <v>181.21907999999996</v>
      </c>
      <c r="W117" s="12">
        <f t="shared" si="27"/>
        <v>181.21907999999996</v>
      </c>
      <c r="X117" s="12">
        <f t="shared" si="28"/>
        <v>0</v>
      </c>
      <c r="Y117" s="20">
        <f t="shared" si="41"/>
        <v>-9.6090890140845033</v>
      </c>
      <c r="Z117" s="12">
        <f t="shared" si="42"/>
        <v>0</v>
      </c>
      <c r="AA117" s="12">
        <f t="shared" si="43"/>
        <v>-9.6090890140845033</v>
      </c>
      <c r="AB117" s="8">
        <v>6.5</v>
      </c>
      <c r="AC117" s="20">
        <f t="shared" si="29"/>
        <v>65138.461538461539</v>
      </c>
      <c r="AD117" s="20">
        <f t="shared" si="44"/>
        <v>35780.281690140844</v>
      </c>
      <c r="AE117" s="20">
        <f t="shared" si="30"/>
        <v>37258.603076923078</v>
      </c>
      <c r="AF117" s="21">
        <f t="shared" si="31"/>
        <v>27879.858461538461</v>
      </c>
      <c r="AG117" s="23">
        <f t="shared" si="32"/>
        <v>11.833333333333332</v>
      </c>
      <c r="AH117" s="20">
        <f t="shared" si="33"/>
        <v>35780.281690140844</v>
      </c>
      <c r="AI117" s="20">
        <f t="shared" si="34"/>
        <v>20465.993239436626</v>
      </c>
      <c r="AJ117" s="20">
        <f t="shared" si="45"/>
        <v>15314.288450704218</v>
      </c>
      <c r="AK117" s="47">
        <f t="shared" si="35"/>
        <v>1.8205128205128203</v>
      </c>
    </row>
    <row r="118" spans="1:37" x14ac:dyDescent="0.25">
      <c r="A118" s="8" t="s">
        <v>26</v>
      </c>
      <c r="B118" s="8" t="s">
        <v>263</v>
      </c>
      <c r="C118" s="8" t="s">
        <v>142</v>
      </c>
      <c r="D118" s="8">
        <v>2</v>
      </c>
      <c r="E118" s="8">
        <v>4</v>
      </c>
      <c r="G118" s="8">
        <f t="shared" si="36"/>
        <v>6</v>
      </c>
      <c r="H118" s="8">
        <v>1</v>
      </c>
      <c r="K118" s="8">
        <f t="shared" si="37"/>
        <v>1</v>
      </c>
      <c r="L118" s="8">
        <v>0</v>
      </c>
      <c r="M118" s="8">
        <v>1</v>
      </c>
      <c r="N118" s="8">
        <v>0</v>
      </c>
      <c r="O118" s="8">
        <f t="shared" si="38"/>
        <v>1</v>
      </c>
      <c r="P118" s="31">
        <v>1.5</v>
      </c>
      <c r="Q118" s="31">
        <v>1.25</v>
      </c>
      <c r="R118" s="66">
        <f>IF(A118='Свод по районам'!$A$14,'Свод по районам'!$G$14,0)</f>
        <v>1.4680097151522031</v>
      </c>
      <c r="S118" s="76">
        <f>ROUND(((D118*$K$7+E118*$K$8+F118*$K$9)+(H118*$AA$7+I118*$AA$8+J118*$AA$9)+(L118*'по детям'!$K$10*0.2+M118*'по детям'!$K$11*0.2+N118*'по детям'!$K$12*0.2))*P118*Q118/1.302/12,1)</f>
        <v>370.4</v>
      </c>
      <c r="T118" s="12">
        <f t="shared" si="39"/>
        <v>205.69021276595743</v>
      </c>
      <c r="U118" s="11">
        <v>284.69159999999999</v>
      </c>
      <c r="V118" s="12">
        <f t="shared" si="40"/>
        <v>85.708399999999983</v>
      </c>
      <c r="W118" s="12">
        <f t="shared" si="27"/>
        <v>85.708399999999983</v>
      </c>
      <c r="X118" s="12">
        <f t="shared" si="28"/>
        <v>0</v>
      </c>
      <c r="Y118" s="20">
        <f t="shared" si="41"/>
        <v>-79.001387234042568</v>
      </c>
      <c r="Z118" s="12">
        <f t="shared" si="42"/>
        <v>0</v>
      </c>
      <c r="AA118" s="12">
        <f t="shared" si="43"/>
        <v>-79.001387234042568</v>
      </c>
      <c r="AB118" s="8">
        <v>5.8</v>
      </c>
      <c r="AC118" s="20">
        <f t="shared" si="29"/>
        <v>63862.068965517239</v>
      </c>
      <c r="AD118" s="20">
        <f t="shared" si="44"/>
        <v>35463.829787234041</v>
      </c>
      <c r="AE118" s="20">
        <f t="shared" si="30"/>
        <v>49084.758620689652</v>
      </c>
      <c r="AF118" s="21">
        <f t="shared" si="31"/>
        <v>14777.310344827587</v>
      </c>
      <c r="AG118" s="23">
        <f t="shared" si="32"/>
        <v>10.444444444444445</v>
      </c>
      <c r="AH118" s="20">
        <f t="shared" si="33"/>
        <v>35463.829787234041</v>
      </c>
      <c r="AI118" s="20">
        <f t="shared" si="34"/>
        <v>27257.706382978722</v>
      </c>
      <c r="AJ118" s="20">
        <f t="shared" si="45"/>
        <v>8206.1234042553187</v>
      </c>
      <c r="AK118" s="47">
        <f t="shared" si="35"/>
        <v>1.8007662835249043</v>
      </c>
    </row>
    <row r="119" spans="1:37" x14ac:dyDescent="0.25">
      <c r="A119" s="8" t="s">
        <v>26</v>
      </c>
      <c r="B119" s="8" t="s">
        <v>263</v>
      </c>
      <c r="C119" s="8" t="s">
        <v>143</v>
      </c>
      <c r="D119" s="8">
        <v>3</v>
      </c>
      <c r="E119" s="8">
        <v>3</v>
      </c>
      <c r="F119" s="8">
        <v>1</v>
      </c>
      <c r="G119" s="8">
        <f t="shared" si="36"/>
        <v>7</v>
      </c>
      <c r="K119" s="8">
        <f t="shared" si="37"/>
        <v>0</v>
      </c>
      <c r="L119" s="8">
        <v>0</v>
      </c>
      <c r="M119" s="8">
        <v>0</v>
      </c>
      <c r="N119" s="8">
        <v>0</v>
      </c>
      <c r="O119" s="8">
        <f t="shared" si="38"/>
        <v>0</v>
      </c>
      <c r="P119" s="31">
        <v>1.5</v>
      </c>
      <c r="Q119" s="31">
        <v>1.25</v>
      </c>
      <c r="R119" s="66">
        <f>IF(A119='Свод по районам'!$A$14,'Свод по районам'!$G$14,0)</f>
        <v>1.4680097151522031</v>
      </c>
      <c r="S119" s="76">
        <f>ROUND(((D119*$K$7+E119*$K$8+F119*$K$9)+(H119*$AA$7+I119*$AA$8+J119*$AA$9)+(L119*'по детям'!$K$10*0.2+M119*'по детям'!$K$11*0.2+N119*'по детям'!$K$12*0.2))*P119*Q119/1.302/12,1)</f>
        <v>412.1</v>
      </c>
      <c r="T119" s="12">
        <f t="shared" si="39"/>
        <v>322.5130434782609</v>
      </c>
      <c r="U119" s="11">
        <v>283.35912999999999</v>
      </c>
      <c r="V119" s="12">
        <f t="shared" si="40"/>
        <v>128.74087000000003</v>
      </c>
      <c r="W119" s="12">
        <f t="shared" si="27"/>
        <v>128.74087000000003</v>
      </c>
      <c r="X119" s="12">
        <f t="shared" si="28"/>
        <v>0</v>
      </c>
      <c r="Y119" s="20">
        <f t="shared" si="41"/>
        <v>39.153913478260904</v>
      </c>
      <c r="Z119" s="12">
        <f t="shared" si="42"/>
        <v>39.153913478260904</v>
      </c>
      <c r="AA119" s="12">
        <f t="shared" si="43"/>
        <v>0</v>
      </c>
      <c r="AB119" s="8">
        <v>9</v>
      </c>
      <c r="AC119" s="20">
        <f t="shared" si="29"/>
        <v>45788.888888888891</v>
      </c>
      <c r="AD119" s="20">
        <f t="shared" si="44"/>
        <v>35834.782608695656</v>
      </c>
      <c r="AE119" s="20">
        <f t="shared" si="30"/>
        <v>31484.347777777777</v>
      </c>
      <c r="AF119" s="21">
        <f t="shared" si="31"/>
        <v>14304.541111111113</v>
      </c>
      <c r="AG119" s="23">
        <f t="shared" si="32"/>
        <v>11.5</v>
      </c>
      <c r="AH119" s="20">
        <f t="shared" si="33"/>
        <v>35834.782608695656</v>
      </c>
      <c r="AI119" s="20">
        <f t="shared" si="34"/>
        <v>24639.924347826083</v>
      </c>
      <c r="AJ119" s="20">
        <f t="shared" si="45"/>
        <v>11194.858260869572</v>
      </c>
      <c r="AK119" s="47">
        <f t="shared" si="35"/>
        <v>1.2777777777777777</v>
      </c>
    </row>
    <row r="120" spans="1:37" x14ac:dyDescent="0.25">
      <c r="A120" s="8" t="s">
        <v>26</v>
      </c>
      <c r="C120" s="8" t="s">
        <v>144</v>
      </c>
      <c r="D120" s="8">
        <v>4</v>
      </c>
      <c r="E120" s="8">
        <v>5</v>
      </c>
      <c r="F120" s="8">
        <v>1</v>
      </c>
      <c r="G120" s="8">
        <f t="shared" si="36"/>
        <v>10</v>
      </c>
      <c r="K120" s="8">
        <f t="shared" si="37"/>
        <v>0</v>
      </c>
      <c r="L120" s="8">
        <v>2</v>
      </c>
      <c r="M120" s="8">
        <v>0</v>
      </c>
      <c r="N120" s="8">
        <v>1</v>
      </c>
      <c r="O120" s="8">
        <f t="shared" si="38"/>
        <v>3</v>
      </c>
      <c r="P120" s="31">
        <v>1.5</v>
      </c>
      <c r="Q120" s="31">
        <v>1.25</v>
      </c>
      <c r="R120" s="66">
        <f>IF(A120='Свод по районам'!$A$14,'Свод по районам'!$G$14,0)</f>
        <v>1.4680097151522031</v>
      </c>
      <c r="S120" s="76">
        <f>ROUND(((D120*$K$7+E120*$K$8+F120*$K$9)+(H120*$AA$7+I120*$AA$8+J120*$AA$9)+(L120*'по детям'!$K$10*0.2+M120*'по детям'!$K$11*0.2+N120*'по детям'!$K$12*0.2))*P120*Q120/1.302/12,1)</f>
        <v>593</v>
      </c>
      <c r="T120" s="12">
        <f t="shared" si="39"/>
        <v>431.27272727272725</v>
      </c>
      <c r="U120" s="11">
        <v>380.13984999999997</v>
      </c>
      <c r="V120" s="12">
        <f t="shared" si="40"/>
        <v>212.86015000000003</v>
      </c>
      <c r="W120" s="12">
        <f t="shared" si="27"/>
        <v>212.86015000000003</v>
      </c>
      <c r="X120" s="12">
        <f t="shared" si="28"/>
        <v>0</v>
      </c>
      <c r="Y120" s="20">
        <f t="shared" si="41"/>
        <v>51.132877272727285</v>
      </c>
      <c r="Z120" s="12">
        <f t="shared" si="42"/>
        <v>51.132877272727285</v>
      </c>
      <c r="AA120" s="12">
        <f t="shared" si="43"/>
        <v>0</v>
      </c>
      <c r="AB120" s="8">
        <v>12</v>
      </c>
      <c r="AC120" s="20">
        <f t="shared" si="29"/>
        <v>49416.666666666664</v>
      </c>
      <c r="AD120" s="20">
        <f t="shared" si="44"/>
        <v>35939.393939393936</v>
      </c>
      <c r="AE120" s="20">
        <f t="shared" si="30"/>
        <v>31678.320833333331</v>
      </c>
      <c r="AF120" s="21">
        <f t="shared" si="31"/>
        <v>17738.345833333333</v>
      </c>
      <c r="AG120" s="23">
        <f t="shared" si="32"/>
        <v>16.5</v>
      </c>
      <c r="AH120" s="20">
        <f t="shared" si="33"/>
        <v>35939.393939393936</v>
      </c>
      <c r="AI120" s="20">
        <f t="shared" si="34"/>
        <v>23038.778787878786</v>
      </c>
      <c r="AJ120" s="20">
        <f t="shared" si="45"/>
        <v>12900.615151515151</v>
      </c>
      <c r="AK120" s="47">
        <f t="shared" si="35"/>
        <v>1.375</v>
      </c>
    </row>
    <row r="121" spans="1:37" x14ac:dyDescent="0.25">
      <c r="A121" s="8" t="s">
        <v>26</v>
      </c>
      <c r="C121" s="8" t="s">
        <v>145</v>
      </c>
      <c r="D121" s="8">
        <v>4</v>
      </c>
      <c r="E121" s="8">
        <v>5</v>
      </c>
      <c r="F121" s="8">
        <v>2</v>
      </c>
      <c r="G121" s="8">
        <f t="shared" si="36"/>
        <v>11</v>
      </c>
      <c r="H121" s="8">
        <v>2</v>
      </c>
      <c r="I121" s="8">
        <v>2</v>
      </c>
      <c r="K121" s="8">
        <f t="shared" si="37"/>
        <v>4</v>
      </c>
      <c r="L121" s="8">
        <v>1</v>
      </c>
      <c r="M121" s="8">
        <v>1</v>
      </c>
      <c r="N121" s="8">
        <v>0</v>
      </c>
      <c r="O121" s="8">
        <f t="shared" si="38"/>
        <v>2</v>
      </c>
      <c r="P121" s="31">
        <v>1.5</v>
      </c>
      <c r="Q121" s="31">
        <v>1.25</v>
      </c>
      <c r="R121" s="66">
        <f>IF(A121='Свод по районам'!$A$14,'Свод по районам'!$G$14,0)</f>
        <v>1.4680097151522031</v>
      </c>
      <c r="S121" s="76">
        <f>ROUND(((D121*$K$7+E121*$K$8+F121*$K$9)+(H121*$AA$7+I121*$AA$8+J121*$AA$9)+(L121*'по детям'!$K$10*0.2+M121*'по детям'!$K$11*0.2+N121*'по детям'!$K$12*0.2))*P121*Q121/1.302/12,1)</f>
        <v>718.7</v>
      </c>
      <c r="T121" s="12">
        <f t="shared" si="39"/>
        <v>446.33013477088957</v>
      </c>
      <c r="U121" s="11">
        <v>409.81972000000002</v>
      </c>
      <c r="V121" s="12">
        <f t="shared" si="40"/>
        <v>308.88028000000003</v>
      </c>
      <c r="W121" s="12">
        <f t="shared" si="27"/>
        <v>308.88028000000003</v>
      </c>
      <c r="X121" s="12">
        <f t="shared" si="28"/>
        <v>0</v>
      </c>
      <c r="Y121" s="20">
        <f t="shared" si="41"/>
        <v>36.510414770889554</v>
      </c>
      <c r="Z121" s="12">
        <f t="shared" si="42"/>
        <v>36.510414770889554</v>
      </c>
      <c r="AA121" s="12">
        <f t="shared" si="43"/>
        <v>0</v>
      </c>
      <c r="AB121" s="8">
        <v>12.8</v>
      </c>
      <c r="AC121" s="20">
        <f t="shared" si="29"/>
        <v>56148.4375</v>
      </c>
      <c r="AD121" s="20">
        <f t="shared" si="44"/>
        <v>34869.541778975741</v>
      </c>
      <c r="AE121" s="20">
        <f t="shared" si="30"/>
        <v>32017.165624999998</v>
      </c>
      <c r="AF121" s="21">
        <f t="shared" si="31"/>
        <v>24131.271875000002</v>
      </c>
      <c r="AG121" s="23">
        <f t="shared" si="32"/>
        <v>20.611111111111111</v>
      </c>
      <c r="AH121" s="20">
        <f t="shared" si="33"/>
        <v>34869.541778975741</v>
      </c>
      <c r="AI121" s="20">
        <f t="shared" si="34"/>
        <v>19883.43654986523</v>
      </c>
      <c r="AJ121" s="20">
        <f t="shared" si="45"/>
        <v>14986.105229110512</v>
      </c>
      <c r="AK121" s="47">
        <f t="shared" si="35"/>
        <v>1.6102430555555554</v>
      </c>
    </row>
    <row r="122" spans="1:37" x14ac:dyDescent="0.25">
      <c r="A122" s="8" t="s">
        <v>26</v>
      </c>
      <c r="C122" s="8" t="s">
        <v>146</v>
      </c>
      <c r="D122" s="8">
        <v>4</v>
      </c>
      <c r="E122" s="8">
        <v>5</v>
      </c>
      <c r="F122" s="8">
        <v>1</v>
      </c>
      <c r="G122" s="8">
        <f t="shared" si="36"/>
        <v>10</v>
      </c>
      <c r="H122" s="8">
        <v>4</v>
      </c>
      <c r="K122" s="8">
        <f t="shared" si="37"/>
        <v>4</v>
      </c>
      <c r="L122" s="8">
        <v>2</v>
      </c>
      <c r="M122" s="8">
        <v>1</v>
      </c>
      <c r="N122" s="8">
        <v>0</v>
      </c>
      <c r="O122" s="8">
        <f t="shared" si="38"/>
        <v>3</v>
      </c>
      <c r="P122" s="31">
        <v>1.5</v>
      </c>
      <c r="Q122" s="31">
        <v>1.25</v>
      </c>
      <c r="R122" s="66">
        <f>IF(A122='Свод по районам'!$A$14,'Свод по районам'!$G$14,0)</f>
        <v>1.4680097151522031</v>
      </c>
      <c r="S122" s="76">
        <f>ROUND(((D122*$K$7+E122*$K$8+F122*$K$9)+(H122*$AA$7+I122*$AA$8+J122*$AA$9)+(L122*'по детям'!$K$10*0.2+M122*'по детям'!$K$11*0.2+N122*'по детям'!$K$12*0.2))*P122*Q122/1.302/12,1)</f>
        <v>639.5</v>
      </c>
      <c r="T122" s="12">
        <f t="shared" si="39"/>
        <v>384.86626139817628</v>
      </c>
      <c r="U122" s="11">
        <v>356.97305000000006</v>
      </c>
      <c r="V122" s="12">
        <f t="shared" si="40"/>
        <v>282.52694999999994</v>
      </c>
      <c r="W122" s="12">
        <f t="shared" si="27"/>
        <v>282.52694999999994</v>
      </c>
      <c r="X122" s="12">
        <f t="shared" si="28"/>
        <v>0</v>
      </c>
      <c r="Y122" s="20">
        <f t="shared" si="41"/>
        <v>27.89321139817622</v>
      </c>
      <c r="Z122" s="12">
        <f t="shared" si="42"/>
        <v>27.89321139817622</v>
      </c>
      <c r="AA122" s="12">
        <f t="shared" si="43"/>
        <v>0</v>
      </c>
      <c r="AB122" s="8">
        <v>11</v>
      </c>
      <c r="AC122" s="20">
        <f t="shared" si="29"/>
        <v>58136.363636363632</v>
      </c>
      <c r="AD122" s="20">
        <f t="shared" si="44"/>
        <v>34987.841945288747</v>
      </c>
      <c r="AE122" s="20">
        <f t="shared" si="30"/>
        <v>32452.095454545459</v>
      </c>
      <c r="AF122" s="21">
        <f t="shared" si="31"/>
        <v>25684.268181818174</v>
      </c>
      <c r="AG122" s="23">
        <f t="shared" si="32"/>
        <v>18.277777777777779</v>
      </c>
      <c r="AH122" s="20">
        <f t="shared" si="33"/>
        <v>34987.841945288747</v>
      </c>
      <c r="AI122" s="20">
        <f t="shared" si="34"/>
        <v>19530.440425531917</v>
      </c>
      <c r="AJ122" s="20">
        <f t="shared" si="45"/>
        <v>15457.40151975683</v>
      </c>
      <c r="AK122" s="47">
        <f t="shared" si="35"/>
        <v>1.6616161616161618</v>
      </c>
    </row>
    <row r="123" spans="1:37" x14ac:dyDescent="0.25">
      <c r="A123" s="8" t="s">
        <v>26</v>
      </c>
      <c r="C123" s="8" t="s">
        <v>147</v>
      </c>
      <c r="D123" s="8">
        <v>4</v>
      </c>
      <c r="E123" s="8">
        <v>4</v>
      </c>
      <c r="F123" s="8">
        <v>1</v>
      </c>
      <c r="G123" s="8">
        <f t="shared" si="36"/>
        <v>9</v>
      </c>
      <c r="I123" s="8">
        <v>1</v>
      </c>
      <c r="K123" s="8">
        <f t="shared" si="37"/>
        <v>1</v>
      </c>
      <c r="L123" s="8">
        <v>2</v>
      </c>
      <c r="M123" s="8">
        <v>2</v>
      </c>
      <c r="N123" s="8">
        <v>0</v>
      </c>
      <c r="O123" s="8">
        <f t="shared" si="38"/>
        <v>4</v>
      </c>
      <c r="P123" s="31">
        <v>1.5</v>
      </c>
      <c r="Q123" s="31">
        <v>1.25</v>
      </c>
      <c r="R123" s="66">
        <f>IF(A123='Свод по районам'!$A$14,'Свод по районам'!$G$14,0)</f>
        <v>1.4680097151522031</v>
      </c>
      <c r="S123" s="76">
        <f>ROUND(((D123*$K$7+E123*$K$8+F123*$K$9)+(H123*$AA$7+I123*$AA$8+J123*$AA$9)+(L123*'по детям'!$K$10*0.2+M123*'по детям'!$K$11*0.2+N123*'по детям'!$K$12*0.2))*P123*Q123/1.302/12,1)</f>
        <v>543.70000000000005</v>
      </c>
      <c r="T123" s="12">
        <f t="shared" si="39"/>
        <v>462.63927272727284</v>
      </c>
      <c r="U123" s="11">
        <v>374.40800999999999</v>
      </c>
      <c r="V123" s="12">
        <f t="shared" si="40"/>
        <v>169.29199000000006</v>
      </c>
      <c r="W123" s="12">
        <f t="shared" si="27"/>
        <v>169.29199000000006</v>
      </c>
      <c r="X123" s="12">
        <f t="shared" si="28"/>
        <v>0</v>
      </c>
      <c r="Y123" s="20">
        <f t="shared" si="41"/>
        <v>88.231262727272849</v>
      </c>
      <c r="Z123" s="12">
        <f t="shared" si="42"/>
        <v>88.231262727272849</v>
      </c>
      <c r="AA123" s="12">
        <f t="shared" si="43"/>
        <v>0</v>
      </c>
      <c r="AB123" s="8">
        <v>13</v>
      </c>
      <c r="AC123" s="20">
        <f t="shared" si="29"/>
        <v>41823.076923076922</v>
      </c>
      <c r="AD123" s="20">
        <f t="shared" si="44"/>
        <v>35587.636363636368</v>
      </c>
      <c r="AE123" s="20">
        <f t="shared" si="30"/>
        <v>28800.616153846153</v>
      </c>
      <c r="AF123" s="21">
        <f t="shared" si="31"/>
        <v>13022.460769230769</v>
      </c>
      <c r="AG123" s="23">
        <f t="shared" si="32"/>
        <v>15.277777777777777</v>
      </c>
      <c r="AH123" s="20">
        <f t="shared" si="33"/>
        <v>35587.636363636368</v>
      </c>
      <c r="AI123" s="20">
        <f t="shared" si="34"/>
        <v>24506.706109090908</v>
      </c>
      <c r="AJ123" s="20">
        <f t="shared" si="45"/>
        <v>11080.930254545459</v>
      </c>
      <c r="AK123" s="47">
        <f t="shared" si="35"/>
        <v>1.175213675213675</v>
      </c>
    </row>
    <row r="124" spans="1:37" x14ac:dyDescent="0.25">
      <c r="A124" s="8" t="s">
        <v>26</v>
      </c>
      <c r="B124" s="8" t="s">
        <v>263</v>
      </c>
      <c r="C124" s="8" t="s">
        <v>148</v>
      </c>
      <c r="D124" s="8">
        <v>3</v>
      </c>
      <c r="E124" s="8">
        <v>4</v>
      </c>
      <c r="F124" s="8">
        <v>1</v>
      </c>
      <c r="G124" s="8">
        <f t="shared" si="36"/>
        <v>8</v>
      </c>
      <c r="K124" s="8">
        <f t="shared" si="37"/>
        <v>0</v>
      </c>
      <c r="L124" s="8">
        <v>1</v>
      </c>
      <c r="M124" s="8">
        <v>0</v>
      </c>
      <c r="N124" s="8">
        <v>0</v>
      </c>
      <c r="O124" s="8">
        <f t="shared" si="38"/>
        <v>1</v>
      </c>
      <c r="P124" s="31">
        <v>1.5</v>
      </c>
      <c r="Q124" s="31">
        <v>1.25</v>
      </c>
      <c r="R124" s="66">
        <f>IF(A124='Свод по районам'!$A$14,'Свод по районам'!$G$14,0)</f>
        <v>1.4680097151522031</v>
      </c>
      <c r="S124" s="76">
        <f>ROUND(((D124*$K$7+E124*$K$8+F124*$K$9)+(H124*$AA$7+I124*$AA$8+J124*$AA$9)+(L124*'по детям'!$K$10*0.2+M124*'по детям'!$K$11*0.2+N124*'по детям'!$K$12*0.2))*P124*Q124/1.302/12,1)</f>
        <v>477.9</v>
      </c>
      <c r="T124" s="12">
        <f t="shared" si="39"/>
        <v>369.17775000000006</v>
      </c>
      <c r="U124" s="11">
        <v>320.70075000000003</v>
      </c>
      <c r="V124" s="12">
        <f t="shared" si="40"/>
        <v>157.19924999999995</v>
      </c>
      <c r="W124" s="12">
        <f t="shared" si="27"/>
        <v>157.19924999999995</v>
      </c>
      <c r="X124" s="12">
        <f t="shared" si="28"/>
        <v>0</v>
      </c>
      <c r="Y124" s="20">
        <f t="shared" si="41"/>
        <v>48.477000000000032</v>
      </c>
      <c r="Z124" s="12">
        <f t="shared" si="42"/>
        <v>48.477000000000032</v>
      </c>
      <c r="AA124" s="12">
        <f t="shared" si="43"/>
        <v>0</v>
      </c>
      <c r="AB124" s="8">
        <v>10.3</v>
      </c>
      <c r="AC124" s="20">
        <f t="shared" si="29"/>
        <v>46398.058252427174</v>
      </c>
      <c r="AD124" s="20">
        <f t="shared" si="44"/>
        <v>35842.5</v>
      </c>
      <c r="AE124" s="20">
        <f t="shared" si="30"/>
        <v>31135.995145631066</v>
      </c>
      <c r="AF124" s="21">
        <f t="shared" si="31"/>
        <v>15262.063106796108</v>
      </c>
      <c r="AG124" s="23">
        <f t="shared" si="32"/>
        <v>13.333333333333332</v>
      </c>
      <c r="AH124" s="20">
        <f t="shared" si="33"/>
        <v>35842.5</v>
      </c>
      <c r="AI124" s="20">
        <f t="shared" si="34"/>
        <v>24052.556250000005</v>
      </c>
      <c r="AJ124" s="20">
        <f t="shared" si="45"/>
        <v>11789.943749999995</v>
      </c>
      <c r="AK124" s="47">
        <f t="shared" si="35"/>
        <v>1.2944983818770224</v>
      </c>
    </row>
    <row r="125" spans="1:37" x14ac:dyDescent="0.25">
      <c r="A125" s="8" t="s">
        <v>26</v>
      </c>
      <c r="C125" s="8" t="s">
        <v>149</v>
      </c>
      <c r="D125" s="8">
        <v>4</v>
      </c>
      <c r="E125" s="8">
        <v>5</v>
      </c>
      <c r="F125" s="8">
        <v>1</v>
      </c>
      <c r="G125" s="8">
        <f t="shared" si="36"/>
        <v>10</v>
      </c>
      <c r="K125" s="8">
        <f t="shared" si="37"/>
        <v>0</v>
      </c>
      <c r="L125" s="8">
        <v>2</v>
      </c>
      <c r="M125" s="8">
        <v>4</v>
      </c>
      <c r="N125" s="8">
        <v>0</v>
      </c>
      <c r="O125" s="8">
        <f t="shared" si="38"/>
        <v>6</v>
      </c>
      <c r="P125" s="31">
        <v>1.5</v>
      </c>
      <c r="Q125" s="31">
        <v>1.25</v>
      </c>
      <c r="R125" s="66">
        <f>IF(A125='Свод по районам'!$A$14,'Свод по районам'!$G$14,0)</f>
        <v>1.4680097151522031</v>
      </c>
      <c r="S125" s="76">
        <f>ROUND(((D125*$K$7+E125*$K$8+F125*$K$9)+(H125*$AA$7+I125*$AA$8+J125*$AA$9)+(L125*'по детям'!$K$10*0.2+M125*'по детям'!$K$11*0.2+N125*'по детям'!$K$12*0.2))*P125*Q125/1.302/12,1)</f>
        <v>594.6</v>
      </c>
      <c r="T125" s="12">
        <f t="shared" si="39"/>
        <v>428.83272727272731</v>
      </c>
      <c r="U125" s="11">
        <v>349.97460999999998</v>
      </c>
      <c r="V125" s="12">
        <f t="shared" si="40"/>
        <v>244.62539000000004</v>
      </c>
      <c r="W125" s="12">
        <f t="shared" si="27"/>
        <v>244.62539000000004</v>
      </c>
      <c r="X125" s="12">
        <f t="shared" si="28"/>
        <v>0</v>
      </c>
      <c r="Y125" s="20">
        <f t="shared" si="41"/>
        <v>78.858117272727327</v>
      </c>
      <c r="Z125" s="12">
        <f t="shared" si="42"/>
        <v>78.858117272727327</v>
      </c>
      <c r="AA125" s="12">
        <f t="shared" si="43"/>
        <v>0</v>
      </c>
      <c r="AB125" s="8">
        <v>11.9</v>
      </c>
      <c r="AC125" s="20">
        <f t="shared" si="29"/>
        <v>49966.386554621851</v>
      </c>
      <c r="AD125" s="20">
        <f t="shared" si="44"/>
        <v>36036.36363636364</v>
      </c>
      <c r="AE125" s="20">
        <f t="shared" si="30"/>
        <v>29409.631092436972</v>
      </c>
      <c r="AF125" s="21">
        <f t="shared" si="31"/>
        <v>20556.755462184879</v>
      </c>
      <c r="AG125" s="23">
        <f t="shared" si="32"/>
        <v>16.5</v>
      </c>
      <c r="AH125" s="20">
        <f t="shared" si="33"/>
        <v>36036.36363636364</v>
      </c>
      <c r="AI125" s="20">
        <f t="shared" si="34"/>
        <v>21210.582424242424</v>
      </c>
      <c r="AJ125" s="20">
        <f t="shared" si="45"/>
        <v>14825.781212121216</v>
      </c>
      <c r="AK125" s="47">
        <f t="shared" si="35"/>
        <v>1.3865546218487395</v>
      </c>
    </row>
    <row r="126" spans="1:37" x14ac:dyDescent="0.25">
      <c r="A126" s="8" t="s">
        <v>27</v>
      </c>
      <c r="B126" s="8" t="s">
        <v>263</v>
      </c>
      <c r="C126" s="8" t="s">
        <v>150</v>
      </c>
      <c r="D126" s="8">
        <v>1</v>
      </c>
      <c r="G126" s="8">
        <f t="shared" si="36"/>
        <v>1</v>
      </c>
      <c r="K126" s="8">
        <f t="shared" si="37"/>
        <v>0</v>
      </c>
      <c r="L126" s="8">
        <v>0</v>
      </c>
      <c r="M126" s="8">
        <v>0</v>
      </c>
      <c r="N126" s="8">
        <v>0</v>
      </c>
      <c r="O126" s="8">
        <f t="shared" si="38"/>
        <v>0</v>
      </c>
      <c r="P126" s="31">
        <v>1.5</v>
      </c>
      <c r="Q126" s="31">
        <v>1.25</v>
      </c>
      <c r="R126" s="66">
        <f>IF(A126='Свод по районам'!$A$15,'Свод по районам'!$G$15,0)</f>
        <v>1.3307859775790485</v>
      </c>
      <c r="S126" s="76">
        <f>ROUND(((D126*$K$7+E126*$K$8+F126*$K$9)+(H126*$AA$7+I126*$AA$8+J126*$AA$9)+(L126*'по детям'!$K$10*0.2+M126*'по детям'!$K$11*0.2+N126*'по детям'!$K$12*0.2))*P126*Q126/1.302/12,1)</f>
        <v>48.2</v>
      </c>
      <c r="T126" s="12">
        <f t="shared" si="39"/>
        <v>36.150000000000006</v>
      </c>
      <c r="U126" s="11">
        <v>38.1661</v>
      </c>
      <c r="V126" s="12">
        <f t="shared" si="40"/>
        <v>10.033900000000003</v>
      </c>
      <c r="W126" s="12">
        <f t="shared" si="27"/>
        <v>10.033900000000003</v>
      </c>
      <c r="X126" s="12">
        <f t="shared" si="28"/>
        <v>0</v>
      </c>
      <c r="Y126" s="20">
        <f t="shared" si="41"/>
        <v>-2.0160999999999945</v>
      </c>
      <c r="Z126" s="12">
        <f t="shared" si="42"/>
        <v>0</v>
      </c>
      <c r="AA126" s="12">
        <f t="shared" si="43"/>
        <v>-2.0160999999999945</v>
      </c>
      <c r="AB126" s="8">
        <v>1</v>
      </c>
      <c r="AC126" s="20">
        <f t="shared" si="29"/>
        <v>48200</v>
      </c>
      <c r="AD126" s="20">
        <f t="shared" si="44"/>
        <v>36150.000000000007</v>
      </c>
      <c r="AE126" s="20">
        <f t="shared" si="30"/>
        <v>38166.1</v>
      </c>
      <c r="AF126" s="21">
        <f t="shared" si="31"/>
        <v>10033.900000000001</v>
      </c>
      <c r="AG126" s="23">
        <f t="shared" si="32"/>
        <v>1.3333333333333333</v>
      </c>
      <c r="AH126" s="20">
        <f t="shared" si="33"/>
        <v>36150.000000000007</v>
      </c>
      <c r="AI126" s="20">
        <f t="shared" si="34"/>
        <v>28624.575000000001</v>
      </c>
      <c r="AJ126" s="20">
        <f t="shared" si="45"/>
        <v>7525.4250000000065</v>
      </c>
      <c r="AK126" s="47">
        <f t="shared" si="35"/>
        <v>1.3333333333333333</v>
      </c>
    </row>
    <row r="127" spans="1:37" x14ac:dyDescent="0.25">
      <c r="A127" s="8" t="s">
        <v>27</v>
      </c>
      <c r="C127" s="8" t="s">
        <v>151</v>
      </c>
      <c r="D127" s="8">
        <v>3</v>
      </c>
      <c r="G127" s="8">
        <f t="shared" si="36"/>
        <v>3</v>
      </c>
      <c r="K127" s="8">
        <f t="shared" si="37"/>
        <v>0</v>
      </c>
      <c r="L127" s="8">
        <v>1</v>
      </c>
      <c r="M127" s="8">
        <v>0</v>
      </c>
      <c r="N127" s="8">
        <v>0</v>
      </c>
      <c r="O127" s="8">
        <f t="shared" si="38"/>
        <v>1</v>
      </c>
      <c r="P127" s="31">
        <v>1.5</v>
      </c>
      <c r="Q127" s="31">
        <v>1.25</v>
      </c>
      <c r="R127" s="66">
        <f>IF(A127='Свод по районам'!$A$15,'Свод по районам'!$G$15,0)</f>
        <v>1.3307859775790485</v>
      </c>
      <c r="S127" s="76">
        <f>ROUND(((D127*$K$7+E127*$K$8+F127*$K$9)+(H127*$AA$7+I127*$AA$8+J127*$AA$9)+(L127*'по детям'!$K$10*0.2+M127*'по детям'!$K$11*0.2+N127*'по детям'!$K$12*0.2))*P127*Q127/1.302/12,1)</f>
        <v>145</v>
      </c>
      <c r="T127" s="12">
        <f t="shared" si="39"/>
        <v>119.625</v>
      </c>
      <c r="U127" s="11">
        <v>87.076299999999989</v>
      </c>
      <c r="V127" s="12">
        <f t="shared" si="40"/>
        <v>57.923700000000011</v>
      </c>
      <c r="W127" s="12">
        <f t="shared" si="27"/>
        <v>57.923700000000011</v>
      </c>
      <c r="X127" s="12">
        <f t="shared" si="28"/>
        <v>0</v>
      </c>
      <c r="Y127" s="20">
        <f t="shared" si="41"/>
        <v>32.548700000000011</v>
      </c>
      <c r="Z127" s="12">
        <f t="shared" si="42"/>
        <v>32.548700000000011</v>
      </c>
      <c r="AA127" s="12">
        <f t="shared" si="43"/>
        <v>0</v>
      </c>
      <c r="AB127" s="8">
        <v>3.3</v>
      </c>
      <c r="AC127" s="20">
        <f t="shared" si="29"/>
        <v>43939.393939393944</v>
      </c>
      <c r="AD127" s="20">
        <f t="shared" si="44"/>
        <v>36250</v>
      </c>
      <c r="AE127" s="20">
        <f t="shared" si="30"/>
        <v>26386.757575757576</v>
      </c>
      <c r="AF127" s="21">
        <f t="shared" si="31"/>
        <v>17552.636363636368</v>
      </c>
      <c r="AG127" s="23">
        <f t="shared" si="32"/>
        <v>4</v>
      </c>
      <c r="AH127" s="20">
        <f t="shared" si="33"/>
        <v>36250</v>
      </c>
      <c r="AI127" s="20">
        <f t="shared" si="34"/>
        <v>21769.074999999997</v>
      </c>
      <c r="AJ127" s="20">
        <f t="shared" si="45"/>
        <v>14480.925000000003</v>
      </c>
      <c r="AK127" s="47">
        <f t="shared" si="35"/>
        <v>1.2121212121212122</v>
      </c>
    </row>
    <row r="128" spans="1:37" x14ac:dyDescent="0.25">
      <c r="A128" s="8" t="s">
        <v>27</v>
      </c>
      <c r="B128" s="8" t="s">
        <v>263</v>
      </c>
      <c r="C128" s="8" t="s">
        <v>152</v>
      </c>
      <c r="D128" s="8">
        <v>2</v>
      </c>
      <c r="E128" s="8">
        <v>2</v>
      </c>
      <c r="F128" s="8">
        <v>1</v>
      </c>
      <c r="G128" s="8">
        <f t="shared" si="36"/>
        <v>5</v>
      </c>
      <c r="K128" s="8">
        <f t="shared" si="37"/>
        <v>0</v>
      </c>
      <c r="L128" s="8">
        <v>2</v>
      </c>
      <c r="M128" s="8">
        <v>0</v>
      </c>
      <c r="N128" s="8">
        <v>0</v>
      </c>
      <c r="O128" s="8">
        <f t="shared" si="38"/>
        <v>2</v>
      </c>
      <c r="P128" s="31">
        <v>1.5</v>
      </c>
      <c r="Q128" s="31">
        <v>1.25</v>
      </c>
      <c r="R128" s="66">
        <f>IF(A128='Свод по районам'!$A$15,'Свод по районам'!$G$15,0)</f>
        <v>1.3307859775790485</v>
      </c>
      <c r="S128" s="76">
        <f>ROUND(((D128*$K$7+E128*$K$8+F128*$K$9)+(H128*$AA$7+I128*$AA$8+J128*$AA$9)+(L128*'по детям'!$K$10*0.2+M128*'по детям'!$K$11*0.2+N128*'по детям'!$K$12*0.2))*P128*Q128/1.302/12,1)</f>
        <v>299.39999999999998</v>
      </c>
      <c r="T128" s="12">
        <f t="shared" si="39"/>
        <v>194.01120000000003</v>
      </c>
      <c r="U128" s="11">
        <v>193.56990000000002</v>
      </c>
      <c r="V128" s="12">
        <f t="shared" si="40"/>
        <v>105.83009999999996</v>
      </c>
      <c r="W128" s="12">
        <f t="shared" si="27"/>
        <v>105.83009999999996</v>
      </c>
      <c r="X128" s="12">
        <f t="shared" si="28"/>
        <v>0</v>
      </c>
      <c r="Y128" s="20">
        <f t="shared" si="41"/>
        <v>0.44130000000001246</v>
      </c>
      <c r="Z128" s="12">
        <f t="shared" si="42"/>
        <v>0.44130000000001246</v>
      </c>
      <c r="AA128" s="12">
        <f t="shared" si="43"/>
        <v>0</v>
      </c>
      <c r="AB128" s="8">
        <v>5.4</v>
      </c>
      <c r="AC128" s="20">
        <f t="shared" si="29"/>
        <v>55444.444444444438</v>
      </c>
      <c r="AD128" s="20">
        <f t="shared" si="44"/>
        <v>35928.000000000007</v>
      </c>
      <c r="AE128" s="20">
        <f t="shared" si="30"/>
        <v>35846.277777777781</v>
      </c>
      <c r="AF128" s="21">
        <f t="shared" si="31"/>
        <v>19598.166666666657</v>
      </c>
      <c r="AG128" s="23">
        <f t="shared" si="32"/>
        <v>8.3333333333333321</v>
      </c>
      <c r="AH128" s="20">
        <f t="shared" si="33"/>
        <v>35928.000000000007</v>
      </c>
      <c r="AI128" s="20">
        <f t="shared" si="34"/>
        <v>23228.388000000006</v>
      </c>
      <c r="AJ128" s="20">
        <f t="shared" si="45"/>
        <v>12699.612000000001</v>
      </c>
      <c r="AK128" s="47">
        <f t="shared" si="35"/>
        <v>1.5432098765432096</v>
      </c>
    </row>
    <row r="129" spans="1:37" x14ac:dyDescent="0.25">
      <c r="A129" s="8" t="s">
        <v>27</v>
      </c>
      <c r="B129" s="8" t="s">
        <v>263</v>
      </c>
      <c r="C129" s="8" t="s">
        <v>153</v>
      </c>
      <c r="D129" s="8">
        <v>2</v>
      </c>
      <c r="E129" s="8">
        <v>2</v>
      </c>
      <c r="F129" s="8">
        <v>1</v>
      </c>
      <c r="G129" s="8">
        <f t="shared" si="36"/>
        <v>5</v>
      </c>
      <c r="K129" s="8">
        <f t="shared" si="37"/>
        <v>0</v>
      </c>
      <c r="L129" s="8">
        <v>0</v>
      </c>
      <c r="M129" s="8">
        <v>0</v>
      </c>
      <c r="N129" s="8">
        <v>1</v>
      </c>
      <c r="O129" s="8">
        <f t="shared" si="38"/>
        <v>1</v>
      </c>
      <c r="P129" s="31">
        <v>1.5</v>
      </c>
      <c r="Q129" s="31">
        <v>1.25</v>
      </c>
      <c r="R129" s="66">
        <f>IF(A129='Свод по районам'!$A$15,'Свод по районам'!$G$15,0)</f>
        <v>1.3307859775790485</v>
      </c>
      <c r="S129" s="76">
        <f>ROUND(((D129*$K$7+E129*$K$8+F129*$K$9)+(H129*$AA$7+I129*$AA$8+J129*$AA$9)+(L129*'по детям'!$K$10*0.2+M129*'по детям'!$K$11*0.2+N129*'по детям'!$K$12*0.2))*P129*Q129/1.302/12,1)</f>
        <v>299.5</v>
      </c>
      <c r="T129" s="12">
        <f t="shared" si="39"/>
        <v>240.79800000000003</v>
      </c>
      <c r="U129" s="11">
        <v>204.87549999999999</v>
      </c>
      <c r="V129" s="12">
        <f t="shared" si="40"/>
        <v>94.624500000000012</v>
      </c>
      <c r="W129" s="12">
        <f t="shared" si="27"/>
        <v>94.624500000000012</v>
      </c>
      <c r="X129" s="12">
        <f t="shared" si="28"/>
        <v>0</v>
      </c>
      <c r="Y129" s="20">
        <f t="shared" si="41"/>
        <v>35.922500000000042</v>
      </c>
      <c r="Z129" s="12">
        <f t="shared" si="42"/>
        <v>35.922500000000042</v>
      </c>
      <c r="AA129" s="12">
        <f t="shared" si="43"/>
        <v>0</v>
      </c>
      <c r="AB129" s="8">
        <v>6.7</v>
      </c>
      <c r="AC129" s="20">
        <f t="shared" si="29"/>
        <v>44701.492537313432</v>
      </c>
      <c r="AD129" s="20">
        <f t="shared" si="44"/>
        <v>35940.000000000007</v>
      </c>
      <c r="AE129" s="20">
        <f t="shared" si="30"/>
        <v>30578.432835820895</v>
      </c>
      <c r="AF129" s="21">
        <f t="shared" si="31"/>
        <v>14123.059701492537</v>
      </c>
      <c r="AG129" s="23">
        <f t="shared" si="32"/>
        <v>8.3333333333333321</v>
      </c>
      <c r="AH129" s="20">
        <f t="shared" si="33"/>
        <v>35940.000000000007</v>
      </c>
      <c r="AI129" s="20">
        <f t="shared" si="34"/>
        <v>24585.06</v>
      </c>
      <c r="AJ129" s="20">
        <f t="shared" si="45"/>
        <v>11354.940000000006</v>
      </c>
      <c r="AK129" s="47">
        <f t="shared" si="35"/>
        <v>1.2437810945273631</v>
      </c>
    </row>
    <row r="130" spans="1:37" x14ac:dyDescent="0.25">
      <c r="A130" s="8" t="s">
        <v>27</v>
      </c>
      <c r="B130" s="8" t="s">
        <v>263</v>
      </c>
      <c r="C130" s="8" t="s">
        <v>154</v>
      </c>
      <c r="D130" s="8">
        <v>2</v>
      </c>
      <c r="E130" s="8">
        <v>3</v>
      </c>
      <c r="F130" s="8">
        <v>1</v>
      </c>
      <c r="G130" s="8">
        <f t="shared" si="36"/>
        <v>6</v>
      </c>
      <c r="K130" s="8">
        <f t="shared" si="37"/>
        <v>0</v>
      </c>
      <c r="L130" s="8">
        <v>0</v>
      </c>
      <c r="M130" s="8">
        <v>0</v>
      </c>
      <c r="N130" s="8">
        <v>0</v>
      </c>
      <c r="O130" s="8">
        <f t="shared" si="38"/>
        <v>0</v>
      </c>
      <c r="P130" s="31">
        <v>1.5</v>
      </c>
      <c r="Q130" s="31">
        <v>1.25</v>
      </c>
      <c r="R130" s="66">
        <f>IF(A130='Свод по районам'!$A$15,'Свод по районам'!$G$15,0)</f>
        <v>1.3307859775790485</v>
      </c>
      <c r="S130" s="76">
        <f>ROUND(((D130*$K$7+E130*$K$8+F130*$K$9)+(H130*$AA$7+I130*$AA$8+J130*$AA$9)+(L130*'по детям'!$K$10*0.2+M130*'по детям'!$K$11*0.2+N130*'по детям'!$K$12*0.2))*P130*Q130/1.302/12,1)</f>
        <v>363.9</v>
      </c>
      <c r="T130" s="12">
        <f t="shared" si="39"/>
        <v>275.60950819672132</v>
      </c>
      <c r="U130" s="11">
        <v>210.91435000000001</v>
      </c>
      <c r="V130" s="12">
        <f t="shared" si="40"/>
        <v>152.98564999999996</v>
      </c>
      <c r="W130" s="12">
        <f t="shared" si="27"/>
        <v>152.98564999999996</v>
      </c>
      <c r="X130" s="12">
        <f t="shared" si="28"/>
        <v>0</v>
      </c>
      <c r="Y130" s="20">
        <f t="shared" si="41"/>
        <v>64.695158196721309</v>
      </c>
      <c r="Z130" s="12">
        <f t="shared" si="42"/>
        <v>64.695158196721309</v>
      </c>
      <c r="AA130" s="12">
        <f t="shared" si="43"/>
        <v>0</v>
      </c>
      <c r="AB130" s="8">
        <v>7.7</v>
      </c>
      <c r="AC130" s="20">
        <f t="shared" si="29"/>
        <v>47259.740259740254</v>
      </c>
      <c r="AD130" s="20">
        <f t="shared" si="44"/>
        <v>35793.442622950817</v>
      </c>
      <c r="AE130" s="20">
        <f t="shared" si="30"/>
        <v>27391.474025974028</v>
      </c>
      <c r="AF130" s="21">
        <f t="shared" si="31"/>
        <v>19868.266233766226</v>
      </c>
      <c r="AG130" s="23">
        <f t="shared" si="32"/>
        <v>10.166666666666666</v>
      </c>
      <c r="AH130" s="20">
        <f t="shared" si="33"/>
        <v>35793.442622950817</v>
      </c>
      <c r="AI130" s="20">
        <f t="shared" si="34"/>
        <v>20745.673770491805</v>
      </c>
      <c r="AJ130" s="20">
        <f t="shared" si="45"/>
        <v>15047.768852459012</v>
      </c>
      <c r="AK130" s="47">
        <f t="shared" si="35"/>
        <v>1.3203463203463202</v>
      </c>
    </row>
    <row r="131" spans="1:37" x14ac:dyDescent="0.25">
      <c r="A131" s="8" t="s">
        <v>27</v>
      </c>
      <c r="B131" s="8" t="s">
        <v>263</v>
      </c>
      <c r="C131" s="8" t="s">
        <v>155</v>
      </c>
      <c r="D131" s="8">
        <v>2</v>
      </c>
      <c r="E131" s="8">
        <v>4</v>
      </c>
      <c r="F131" s="8">
        <v>1</v>
      </c>
      <c r="G131" s="8">
        <f t="shared" si="36"/>
        <v>7</v>
      </c>
      <c r="K131" s="8">
        <f t="shared" si="37"/>
        <v>0</v>
      </c>
      <c r="L131" s="8">
        <v>4</v>
      </c>
      <c r="M131" s="8">
        <v>2</v>
      </c>
      <c r="N131" s="8">
        <v>0</v>
      </c>
      <c r="O131" s="8">
        <f t="shared" si="38"/>
        <v>6</v>
      </c>
      <c r="P131" s="31">
        <v>1.5</v>
      </c>
      <c r="Q131" s="31">
        <v>1.25</v>
      </c>
      <c r="R131" s="66">
        <f>IF(A131='Свод по районам'!$A$15,'Свод по районам'!$G$15,0)</f>
        <v>1.3307859775790485</v>
      </c>
      <c r="S131" s="76">
        <f>ROUND(((D131*$K$7+E131*$K$8+F131*$K$9)+(H131*$AA$7+I131*$AA$8+J131*$AA$9)+(L131*'по детям'!$K$10*0.2+M131*'по детям'!$K$11*0.2+N131*'по детям'!$K$12*0.2))*P131*Q131/1.302/12,1)</f>
        <v>432.4</v>
      </c>
      <c r="T131" s="12">
        <f t="shared" si="39"/>
        <v>302.67999999999995</v>
      </c>
      <c r="U131" s="11">
        <v>260.56765000000001</v>
      </c>
      <c r="V131" s="12">
        <f t="shared" si="40"/>
        <v>171.83234999999996</v>
      </c>
      <c r="W131" s="12">
        <f t="shared" si="27"/>
        <v>171.83234999999996</v>
      </c>
      <c r="X131" s="12">
        <f t="shared" si="28"/>
        <v>0</v>
      </c>
      <c r="Y131" s="20">
        <f t="shared" si="41"/>
        <v>42.112349999999935</v>
      </c>
      <c r="Z131" s="12">
        <f t="shared" si="42"/>
        <v>42.112349999999935</v>
      </c>
      <c r="AA131" s="12">
        <f t="shared" si="43"/>
        <v>0</v>
      </c>
      <c r="AB131" s="8">
        <v>8.4</v>
      </c>
      <c r="AC131" s="20">
        <f t="shared" si="29"/>
        <v>51476.190476190473</v>
      </c>
      <c r="AD131" s="20">
        <f t="shared" si="44"/>
        <v>36033.333333333321</v>
      </c>
      <c r="AE131" s="20">
        <f t="shared" si="30"/>
        <v>31019.958333333336</v>
      </c>
      <c r="AF131" s="21">
        <f t="shared" si="31"/>
        <v>20456.232142857138</v>
      </c>
      <c r="AG131" s="23">
        <f t="shared" si="32"/>
        <v>12</v>
      </c>
      <c r="AH131" s="20">
        <f t="shared" si="33"/>
        <v>36033.333333333328</v>
      </c>
      <c r="AI131" s="20">
        <f t="shared" si="34"/>
        <v>21713.970833333333</v>
      </c>
      <c r="AJ131" s="20">
        <f t="shared" si="45"/>
        <v>14319.362499999996</v>
      </c>
      <c r="AK131" s="47">
        <f t="shared" si="35"/>
        <v>1.4285714285714286</v>
      </c>
    </row>
    <row r="132" spans="1:37" x14ac:dyDescent="0.25">
      <c r="A132" s="8" t="s">
        <v>27</v>
      </c>
      <c r="B132" s="8" t="s">
        <v>263</v>
      </c>
      <c r="C132" s="8" t="s">
        <v>156</v>
      </c>
      <c r="D132" s="8">
        <v>2</v>
      </c>
      <c r="E132" s="8">
        <v>2</v>
      </c>
      <c r="F132" s="8">
        <v>1</v>
      </c>
      <c r="G132" s="8">
        <f t="shared" si="36"/>
        <v>5</v>
      </c>
      <c r="K132" s="8">
        <f t="shared" si="37"/>
        <v>0</v>
      </c>
      <c r="L132" s="8">
        <v>0</v>
      </c>
      <c r="M132" s="8">
        <v>0</v>
      </c>
      <c r="N132" s="8">
        <v>0</v>
      </c>
      <c r="O132" s="8">
        <f t="shared" si="38"/>
        <v>0</v>
      </c>
      <c r="P132" s="31">
        <v>1.5</v>
      </c>
      <c r="Q132" s="31">
        <v>1.25</v>
      </c>
      <c r="R132" s="66">
        <f>IF(A132='Свод по районам'!$A$15,'Свод по районам'!$G$15,0)</f>
        <v>1.3307859775790485</v>
      </c>
      <c r="S132" s="76">
        <f>ROUND(((D132*$K$7+E132*$K$8+F132*$K$9)+(H132*$AA$7+I132*$AA$8+J132*$AA$9)+(L132*'по детям'!$K$10*0.2+M132*'по детям'!$K$11*0.2+N132*'по детям'!$K$12*0.2))*P132*Q132/1.302/12,1)</f>
        <v>298.5</v>
      </c>
      <c r="T132" s="12">
        <f t="shared" si="39"/>
        <v>214.92000000000004</v>
      </c>
      <c r="U132" s="11">
        <v>172.69541999999998</v>
      </c>
      <c r="V132" s="12">
        <f t="shared" si="40"/>
        <v>125.80458000000002</v>
      </c>
      <c r="W132" s="12">
        <f t="shared" si="27"/>
        <v>125.80458000000002</v>
      </c>
      <c r="X132" s="12">
        <f t="shared" si="28"/>
        <v>0</v>
      </c>
      <c r="Y132" s="20">
        <f t="shared" si="41"/>
        <v>42.22458000000006</v>
      </c>
      <c r="Z132" s="12">
        <f t="shared" si="42"/>
        <v>42.22458000000006</v>
      </c>
      <c r="AA132" s="12">
        <f t="shared" si="43"/>
        <v>0</v>
      </c>
      <c r="AB132" s="8">
        <v>6</v>
      </c>
      <c r="AC132" s="20">
        <f t="shared" si="29"/>
        <v>49750</v>
      </c>
      <c r="AD132" s="20">
        <f t="shared" si="44"/>
        <v>35820.000000000007</v>
      </c>
      <c r="AE132" s="20">
        <f t="shared" si="30"/>
        <v>28782.569999999996</v>
      </c>
      <c r="AF132" s="21">
        <f t="shared" si="31"/>
        <v>20967.430000000004</v>
      </c>
      <c r="AG132" s="23">
        <f t="shared" si="32"/>
        <v>8.3333333333333321</v>
      </c>
      <c r="AH132" s="20">
        <f t="shared" si="33"/>
        <v>35820.000000000007</v>
      </c>
      <c r="AI132" s="20">
        <f t="shared" si="34"/>
        <v>20723.450400000002</v>
      </c>
      <c r="AJ132" s="20">
        <f t="shared" si="45"/>
        <v>15096.549600000006</v>
      </c>
      <c r="AK132" s="47">
        <f t="shared" si="35"/>
        <v>1.3888888888888886</v>
      </c>
    </row>
    <row r="133" spans="1:37" x14ac:dyDescent="0.25">
      <c r="A133" s="8" t="s">
        <v>27</v>
      </c>
      <c r="C133" s="8" t="s">
        <v>157</v>
      </c>
      <c r="D133" s="8">
        <v>4</v>
      </c>
      <c r="E133" s="8">
        <v>5</v>
      </c>
      <c r="F133" s="8">
        <v>2</v>
      </c>
      <c r="G133" s="8">
        <f t="shared" si="36"/>
        <v>11</v>
      </c>
      <c r="K133" s="8">
        <f t="shared" si="37"/>
        <v>0</v>
      </c>
      <c r="L133" s="8">
        <v>0</v>
      </c>
      <c r="M133" s="8">
        <v>0</v>
      </c>
      <c r="N133" s="8">
        <v>0</v>
      </c>
      <c r="O133" s="8">
        <f t="shared" si="38"/>
        <v>0</v>
      </c>
      <c r="P133" s="31">
        <v>1.5</v>
      </c>
      <c r="Q133" s="31">
        <v>1.25</v>
      </c>
      <c r="R133" s="66">
        <f>IF(A133='Свод по районам'!$A$15,'Свод по районам'!$G$15,0)</f>
        <v>1.3307859775790485</v>
      </c>
      <c r="S133" s="76">
        <f>ROUND(((D133*$K$7+E133*$K$8+F133*$K$9)+(H133*$AA$7+I133*$AA$8+J133*$AA$9)+(L133*'по детям'!$K$10*0.2+M133*'по детям'!$K$11*0.2+N133*'по детям'!$K$12*0.2))*P133*Q133/1.302/12,1)</f>
        <v>662.4</v>
      </c>
      <c r="T133" s="12">
        <f t="shared" si="39"/>
        <v>476.21189189189187</v>
      </c>
      <c r="U133" s="11">
        <v>365.87205999999998</v>
      </c>
      <c r="V133" s="12">
        <f t="shared" si="40"/>
        <v>296.52794</v>
      </c>
      <c r="W133" s="12">
        <f t="shared" si="27"/>
        <v>296.52794</v>
      </c>
      <c r="X133" s="12">
        <f t="shared" si="28"/>
        <v>0</v>
      </c>
      <c r="Y133" s="20">
        <f t="shared" si="41"/>
        <v>110.33983189189189</v>
      </c>
      <c r="Z133" s="12">
        <f t="shared" si="42"/>
        <v>110.33983189189189</v>
      </c>
      <c r="AA133" s="12">
        <f t="shared" si="43"/>
        <v>0</v>
      </c>
      <c r="AB133" s="8">
        <v>13.3</v>
      </c>
      <c r="AC133" s="20">
        <f t="shared" si="29"/>
        <v>49804.511278195481</v>
      </c>
      <c r="AD133" s="20">
        <f t="shared" si="44"/>
        <v>35805.4054054054</v>
      </c>
      <c r="AE133" s="20">
        <f t="shared" si="30"/>
        <v>27509.17744360902</v>
      </c>
      <c r="AF133" s="21">
        <f t="shared" si="31"/>
        <v>22295.333834586461</v>
      </c>
      <c r="AG133" s="23">
        <f t="shared" si="32"/>
        <v>18.5</v>
      </c>
      <c r="AH133" s="20">
        <f t="shared" si="33"/>
        <v>35805.4054054054</v>
      </c>
      <c r="AI133" s="20">
        <f t="shared" si="34"/>
        <v>19776.868108108109</v>
      </c>
      <c r="AJ133" s="20">
        <f t="shared" si="45"/>
        <v>16028.537297297291</v>
      </c>
      <c r="AK133" s="47">
        <f t="shared" si="35"/>
        <v>1.3909774436090225</v>
      </c>
    </row>
    <row r="134" spans="1:37" x14ac:dyDescent="0.25">
      <c r="A134" s="8" t="s">
        <v>27</v>
      </c>
      <c r="B134" s="8" t="s">
        <v>263</v>
      </c>
      <c r="C134" s="8" t="s">
        <v>158</v>
      </c>
      <c r="D134" s="8">
        <v>4</v>
      </c>
      <c r="E134" s="8">
        <v>3</v>
      </c>
      <c r="F134" s="8">
        <v>1</v>
      </c>
      <c r="G134" s="8">
        <f t="shared" si="36"/>
        <v>8</v>
      </c>
      <c r="K134" s="8">
        <f t="shared" si="37"/>
        <v>0</v>
      </c>
      <c r="L134" s="8">
        <v>1</v>
      </c>
      <c r="M134" s="8">
        <v>1</v>
      </c>
      <c r="N134" s="8">
        <v>0</v>
      </c>
      <c r="O134" s="8">
        <f t="shared" si="38"/>
        <v>2</v>
      </c>
      <c r="P134" s="31">
        <v>1.5</v>
      </c>
      <c r="Q134" s="31">
        <v>1.25</v>
      </c>
      <c r="R134" s="66">
        <f>IF(A134='Свод по районам'!$A$15,'Свод по районам'!$G$15,0)</f>
        <v>1.3307859775790485</v>
      </c>
      <c r="S134" s="76">
        <f>ROUND(((D134*$K$7+E134*$K$8+F134*$K$9)+(H134*$AA$7+I134*$AA$8+J134*$AA$9)+(L134*'по детям'!$K$10*0.2+M134*'по детям'!$K$11*0.2+N134*'по детям'!$K$12*0.2))*P134*Q134/1.302/12,1)</f>
        <v>461.4</v>
      </c>
      <c r="T134" s="12">
        <f t="shared" si="39"/>
        <v>359.53246753246754</v>
      </c>
      <c r="U134" s="11">
        <v>308.86620000000005</v>
      </c>
      <c r="V134" s="12">
        <f t="shared" si="40"/>
        <v>152.53379999999993</v>
      </c>
      <c r="W134" s="12">
        <f t="shared" si="27"/>
        <v>152.53379999999993</v>
      </c>
      <c r="X134" s="12">
        <f t="shared" si="28"/>
        <v>0</v>
      </c>
      <c r="Y134" s="20">
        <f t="shared" si="41"/>
        <v>50.666267532467486</v>
      </c>
      <c r="Z134" s="12">
        <f t="shared" si="42"/>
        <v>50.666267532467486</v>
      </c>
      <c r="AA134" s="12">
        <f t="shared" si="43"/>
        <v>0</v>
      </c>
      <c r="AB134" s="8">
        <v>10</v>
      </c>
      <c r="AC134" s="20">
        <f t="shared" si="29"/>
        <v>46140</v>
      </c>
      <c r="AD134" s="20">
        <f t="shared" si="44"/>
        <v>35953.246753246749</v>
      </c>
      <c r="AE134" s="20">
        <f t="shared" si="30"/>
        <v>30886.620000000003</v>
      </c>
      <c r="AF134" s="21">
        <f t="shared" si="31"/>
        <v>15253.379999999997</v>
      </c>
      <c r="AG134" s="23">
        <f t="shared" si="32"/>
        <v>12.833333333333332</v>
      </c>
      <c r="AH134" s="20">
        <f t="shared" si="33"/>
        <v>35953.246753246749</v>
      </c>
      <c r="AI134" s="20">
        <f t="shared" si="34"/>
        <v>24067.496103896112</v>
      </c>
      <c r="AJ134" s="20">
        <f t="shared" si="45"/>
        <v>11885.750649350637</v>
      </c>
      <c r="AK134" s="47">
        <f t="shared" si="35"/>
        <v>1.2833333333333332</v>
      </c>
    </row>
    <row r="135" spans="1:37" x14ac:dyDescent="0.25">
      <c r="A135" s="8" t="s">
        <v>27</v>
      </c>
      <c r="B135" s="8" t="s">
        <v>263</v>
      </c>
      <c r="C135" s="8" t="s">
        <v>159</v>
      </c>
      <c r="D135" s="8">
        <v>4</v>
      </c>
      <c r="E135" s="8">
        <v>2</v>
      </c>
      <c r="F135" s="8">
        <v>1</v>
      </c>
      <c r="G135" s="8">
        <f t="shared" si="36"/>
        <v>7</v>
      </c>
      <c r="H135" s="8">
        <v>2</v>
      </c>
      <c r="K135" s="8">
        <f t="shared" si="37"/>
        <v>2</v>
      </c>
      <c r="L135" s="8">
        <v>0</v>
      </c>
      <c r="M135" s="8">
        <v>0</v>
      </c>
      <c r="N135" s="8">
        <v>0</v>
      </c>
      <c r="O135" s="8">
        <f t="shared" si="38"/>
        <v>0</v>
      </c>
      <c r="P135" s="31">
        <v>1.5</v>
      </c>
      <c r="Q135" s="31">
        <v>1.25</v>
      </c>
      <c r="R135" s="66">
        <f>IF(A135='Свод по районам'!$A$15,'Свод по районам'!$G$15,0)</f>
        <v>1.3307859775790485</v>
      </c>
      <c r="S135" s="76">
        <f>ROUND(((D135*$K$7+E135*$K$8+F135*$K$9)+(H135*$AA$7+I135*$AA$8+J135*$AA$9)+(L135*'по детям'!$K$10*0.2+M135*'по детям'!$K$11*0.2+N135*'по детям'!$K$12*0.2))*P135*Q135/1.302/12,1)</f>
        <v>418.3</v>
      </c>
      <c r="T135" s="12">
        <f t="shared" si="39"/>
        <v>306.10177570093458</v>
      </c>
      <c r="U135" s="11">
        <v>298.28313000000003</v>
      </c>
      <c r="V135" s="12">
        <f t="shared" si="40"/>
        <v>120.01686999999998</v>
      </c>
      <c r="W135" s="12">
        <f t="shared" si="27"/>
        <v>120.01686999999998</v>
      </c>
      <c r="X135" s="12">
        <f t="shared" si="28"/>
        <v>0</v>
      </c>
      <c r="Y135" s="20">
        <f t="shared" si="41"/>
        <v>7.8186457009345531</v>
      </c>
      <c r="Z135" s="12">
        <f t="shared" si="42"/>
        <v>7.8186457009345531</v>
      </c>
      <c r="AA135" s="12">
        <f t="shared" si="43"/>
        <v>0</v>
      </c>
      <c r="AB135" s="8">
        <v>8.6999999999999993</v>
      </c>
      <c r="AC135" s="20">
        <f t="shared" si="29"/>
        <v>48080.459770114947</v>
      </c>
      <c r="AD135" s="20">
        <f t="shared" si="44"/>
        <v>35184.112149532717</v>
      </c>
      <c r="AE135" s="20">
        <f t="shared" si="30"/>
        <v>34285.417241379313</v>
      </c>
      <c r="AF135" s="21">
        <f t="shared" si="31"/>
        <v>13795.042528735634</v>
      </c>
      <c r="AG135" s="23">
        <f t="shared" si="32"/>
        <v>11.888888888888889</v>
      </c>
      <c r="AH135" s="20">
        <f t="shared" si="33"/>
        <v>35184.11214953271</v>
      </c>
      <c r="AI135" s="20">
        <f t="shared" si="34"/>
        <v>25089.23523364486</v>
      </c>
      <c r="AJ135" s="20">
        <f t="shared" si="45"/>
        <v>10094.876915887849</v>
      </c>
      <c r="AK135" s="47">
        <f t="shared" si="35"/>
        <v>1.3665389527458494</v>
      </c>
    </row>
    <row r="136" spans="1:37" x14ac:dyDescent="0.25">
      <c r="A136" s="8" t="s">
        <v>27</v>
      </c>
      <c r="B136" s="8" t="s">
        <v>263</v>
      </c>
      <c r="C136" s="8" t="s">
        <v>160</v>
      </c>
      <c r="D136" s="8">
        <v>3</v>
      </c>
      <c r="E136" s="8">
        <v>4</v>
      </c>
      <c r="F136" s="8">
        <v>1</v>
      </c>
      <c r="G136" s="8">
        <f t="shared" si="36"/>
        <v>8</v>
      </c>
      <c r="K136" s="8">
        <f t="shared" si="37"/>
        <v>0</v>
      </c>
      <c r="L136" s="8">
        <v>2</v>
      </c>
      <c r="M136" s="8">
        <v>0</v>
      </c>
      <c r="N136" s="8">
        <v>0</v>
      </c>
      <c r="O136" s="8">
        <f t="shared" si="38"/>
        <v>2</v>
      </c>
      <c r="P136" s="31">
        <v>1.5</v>
      </c>
      <c r="Q136" s="31">
        <v>1.25</v>
      </c>
      <c r="R136" s="66">
        <f>IF(A136='Свод по районам'!$A$15,'Свод по районам'!$G$15,0)</f>
        <v>1.3307859775790485</v>
      </c>
      <c r="S136" s="76">
        <f>ROUND(((D136*$K$7+E136*$K$8+F136*$K$9)+(H136*$AA$7+I136*$AA$8+J136*$AA$9)+(L136*'по детям'!$K$10*0.2+M136*'по детям'!$K$11*0.2+N136*'по детям'!$K$12*0.2))*P136*Q136/1.302/12,1)</f>
        <v>478.4</v>
      </c>
      <c r="T136" s="12">
        <f t="shared" si="39"/>
        <v>373.15200000000004</v>
      </c>
      <c r="U136" s="11">
        <v>279.87575000000004</v>
      </c>
      <c r="V136" s="12">
        <f t="shared" si="40"/>
        <v>198.52424999999994</v>
      </c>
      <c r="W136" s="12">
        <f t="shared" si="27"/>
        <v>198.52424999999994</v>
      </c>
      <c r="X136" s="12">
        <f t="shared" si="28"/>
        <v>0</v>
      </c>
      <c r="Y136" s="20">
        <f t="shared" si="41"/>
        <v>93.276250000000005</v>
      </c>
      <c r="Z136" s="12">
        <f t="shared" si="42"/>
        <v>93.276250000000005</v>
      </c>
      <c r="AA136" s="12">
        <f t="shared" si="43"/>
        <v>0</v>
      </c>
      <c r="AB136" s="8">
        <v>10.4</v>
      </c>
      <c r="AC136" s="20">
        <f t="shared" si="29"/>
        <v>45999.999999999993</v>
      </c>
      <c r="AD136" s="20">
        <f t="shared" si="44"/>
        <v>35880</v>
      </c>
      <c r="AE136" s="20">
        <f t="shared" si="30"/>
        <v>26911.129807692312</v>
      </c>
      <c r="AF136" s="21">
        <f t="shared" si="31"/>
        <v>19088.870192307681</v>
      </c>
      <c r="AG136" s="23">
        <f t="shared" si="32"/>
        <v>13.333333333333332</v>
      </c>
      <c r="AH136" s="20">
        <f t="shared" si="33"/>
        <v>35880</v>
      </c>
      <c r="AI136" s="20">
        <f t="shared" si="34"/>
        <v>20990.681250000005</v>
      </c>
      <c r="AJ136" s="20">
        <f t="shared" si="45"/>
        <v>14889.318749999995</v>
      </c>
      <c r="AK136" s="47">
        <f t="shared" si="35"/>
        <v>1.2820512820512819</v>
      </c>
    </row>
    <row r="137" spans="1:37" x14ac:dyDescent="0.25">
      <c r="A137" s="8" t="s">
        <v>27</v>
      </c>
      <c r="C137" s="8" t="s">
        <v>161</v>
      </c>
      <c r="D137" s="8">
        <v>4</v>
      </c>
      <c r="E137" s="8">
        <v>5</v>
      </c>
      <c r="F137" s="8">
        <v>1</v>
      </c>
      <c r="G137" s="8">
        <f t="shared" si="36"/>
        <v>10</v>
      </c>
      <c r="K137" s="8">
        <f t="shared" si="37"/>
        <v>0</v>
      </c>
      <c r="L137" s="8">
        <v>0</v>
      </c>
      <c r="M137" s="8">
        <v>0</v>
      </c>
      <c r="N137" s="8">
        <v>0</v>
      </c>
      <c r="O137" s="8">
        <f t="shared" si="38"/>
        <v>0</v>
      </c>
      <c r="P137" s="31">
        <v>1.5</v>
      </c>
      <c r="Q137" s="31">
        <v>1.25</v>
      </c>
      <c r="R137" s="66">
        <f>IF(A137='Свод по районам'!$A$15,'Свод по районам'!$G$15,0)</f>
        <v>1.3307859775790485</v>
      </c>
      <c r="S137" s="76">
        <f>ROUND(((D137*$K$7+E137*$K$8+F137*$K$9)+(H137*$AA$7+I137*$AA$8+J137*$AA$9)+(L137*'по детям'!$K$10*0.2+M137*'по детям'!$K$11*0.2+N137*'по детям'!$K$12*0.2))*P137*Q137/1.302/12,1)</f>
        <v>591.1</v>
      </c>
      <c r="T137" s="12">
        <f t="shared" si="39"/>
        <v>390.48424242424244</v>
      </c>
      <c r="U137" s="11">
        <v>314.75033000000002</v>
      </c>
      <c r="V137" s="12">
        <f t="shared" si="40"/>
        <v>276.34967</v>
      </c>
      <c r="W137" s="12">
        <f t="shared" si="27"/>
        <v>276.34967</v>
      </c>
      <c r="X137" s="12">
        <f t="shared" si="28"/>
        <v>0</v>
      </c>
      <c r="Y137" s="20">
        <f t="shared" si="41"/>
        <v>75.733912424242419</v>
      </c>
      <c r="Z137" s="12">
        <f t="shared" si="42"/>
        <v>75.733912424242419</v>
      </c>
      <c r="AA137" s="12">
        <f t="shared" si="43"/>
        <v>0</v>
      </c>
      <c r="AB137" s="8">
        <v>10.9</v>
      </c>
      <c r="AC137" s="20">
        <f t="shared" si="29"/>
        <v>54229.35779816514</v>
      </c>
      <c r="AD137" s="20">
        <f t="shared" si="44"/>
        <v>35824.242424242431</v>
      </c>
      <c r="AE137" s="20">
        <f t="shared" si="30"/>
        <v>28876.177064220185</v>
      </c>
      <c r="AF137" s="21">
        <f t="shared" si="31"/>
        <v>25353.180733944955</v>
      </c>
      <c r="AG137" s="23">
        <f t="shared" si="32"/>
        <v>16.5</v>
      </c>
      <c r="AH137" s="20">
        <f t="shared" si="33"/>
        <v>35824.242424242431</v>
      </c>
      <c r="AI137" s="20">
        <f t="shared" si="34"/>
        <v>19075.777575757576</v>
      </c>
      <c r="AJ137" s="20">
        <f t="shared" si="45"/>
        <v>16748.464848484855</v>
      </c>
      <c r="AK137" s="47">
        <f t="shared" si="35"/>
        <v>1.5137614678899083</v>
      </c>
    </row>
    <row r="138" spans="1:37" x14ac:dyDescent="0.25">
      <c r="A138" s="8" t="s">
        <v>28</v>
      </c>
      <c r="C138" s="8" t="s">
        <v>162</v>
      </c>
      <c r="D138" s="8">
        <v>3</v>
      </c>
      <c r="E138" s="8">
        <v>4</v>
      </c>
      <c r="F138" s="8">
        <v>2</v>
      </c>
      <c r="G138" s="8">
        <f t="shared" si="36"/>
        <v>9</v>
      </c>
      <c r="I138" s="8">
        <v>1</v>
      </c>
      <c r="K138" s="8">
        <f t="shared" si="37"/>
        <v>1</v>
      </c>
      <c r="L138" s="8">
        <v>0</v>
      </c>
      <c r="M138" s="8">
        <v>0</v>
      </c>
      <c r="N138" s="8">
        <v>0</v>
      </c>
      <c r="O138" s="8">
        <f t="shared" si="38"/>
        <v>0</v>
      </c>
      <c r="P138" s="10">
        <v>1.8</v>
      </c>
      <c r="Q138" s="31">
        <v>1.25</v>
      </c>
      <c r="R138" s="66">
        <f>IF(A138='Свод по районам'!$A$16,'Свод по районам'!$G$16,0)</f>
        <v>1.65110517196562</v>
      </c>
      <c r="S138" s="76">
        <f>ROUND(((D138*$K$7+E138*$K$8+F138*$K$9)+(H138*$AA$7+I138*$AA$8+J138*$AA$9)+(L138*'по детям'!$K$10*0.2+M138*'по детям'!$K$11*0.2+N138*'по детям'!$K$12*0.2))*P138*Q138/1.302/12,1)</f>
        <v>677.6</v>
      </c>
      <c r="T138" s="12">
        <f t="shared" si="39"/>
        <v>475.97268292682929</v>
      </c>
      <c r="U138" s="11">
        <v>445.02050000000008</v>
      </c>
      <c r="V138" s="12">
        <f t="shared" si="40"/>
        <v>232.57949999999994</v>
      </c>
      <c r="W138" s="12">
        <f t="shared" si="27"/>
        <v>232.57949999999994</v>
      </c>
      <c r="X138" s="12">
        <f t="shared" si="28"/>
        <v>0</v>
      </c>
      <c r="Y138" s="20">
        <f t="shared" si="41"/>
        <v>30.952182926829209</v>
      </c>
      <c r="Z138" s="12">
        <f t="shared" si="42"/>
        <v>30.952182926829209</v>
      </c>
      <c r="AA138" s="12">
        <f t="shared" si="43"/>
        <v>0</v>
      </c>
      <c r="AB138" s="8">
        <v>11.2</v>
      </c>
      <c r="AC138" s="20">
        <f t="shared" si="29"/>
        <v>60500.000000000007</v>
      </c>
      <c r="AD138" s="20">
        <f t="shared" si="44"/>
        <v>42497.560975609755</v>
      </c>
      <c r="AE138" s="20">
        <f t="shared" si="30"/>
        <v>39733.973214285725</v>
      </c>
      <c r="AF138" s="21">
        <f t="shared" si="31"/>
        <v>20766.026785714283</v>
      </c>
      <c r="AG138" s="23">
        <f t="shared" si="32"/>
        <v>15.944444444444443</v>
      </c>
      <c r="AH138" s="20">
        <f t="shared" si="33"/>
        <v>42497.560975609755</v>
      </c>
      <c r="AI138" s="20">
        <f t="shared" si="34"/>
        <v>27910.693379790948</v>
      </c>
      <c r="AJ138" s="20">
        <f t="shared" si="45"/>
        <v>14586.867595818807</v>
      </c>
      <c r="AK138" s="47">
        <f t="shared" si="35"/>
        <v>1.4236111111111112</v>
      </c>
    </row>
    <row r="139" spans="1:37" x14ac:dyDescent="0.25">
      <c r="A139" s="8" t="s">
        <v>28</v>
      </c>
      <c r="B139" s="8" t="s">
        <v>263</v>
      </c>
      <c r="C139" s="8" t="s">
        <v>163</v>
      </c>
      <c r="D139" s="8">
        <v>3</v>
      </c>
      <c r="E139" s="8">
        <v>4</v>
      </c>
      <c r="F139" s="8">
        <v>2</v>
      </c>
      <c r="G139" s="8">
        <f t="shared" si="36"/>
        <v>9</v>
      </c>
      <c r="K139" s="8">
        <f t="shared" si="37"/>
        <v>0</v>
      </c>
      <c r="L139" s="8">
        <v>1</v>
      </c>
      <c r="M139" s="8">
        <v>1</v>
      </c>
      <c r="N139" s="8">
        <v>0</v>
      </c>
      <c r="O139" s="8">
        <f t="shared" si="38"/>
        <v>2</v>
      </c>
      <c r="P139" s="31">
        <v>1.8</v>
      </c>
      <c r="Q139" s="31">
        <v>1.25</v>
      </c>
      <c r="R139" s="66">
        <f>IF(A139='Свод по районам'!$A$16,'Свод по районам'!$G$16,0)</f>
        <v>1.65110517196562</v>
      </c>
      <c r="S139" s="76">
        <f>ROUND(((D139*$K$7+E139*$K$8+F139*$K$9)+(H139*$AA$7+I139*$AA$8+J139*$AA$9)+(L139*'по детям'!$K$10*0.2+M139*'по детям'!$K$11*0.2+N139*'по детям'!$K$12*0.2))*P139*Q139/1.302/12,1)</f>
        <v>659.9</v>
      </c>
      <c r="T139" s="12">
        <f t="shared" si="39"/>
        <v>404.54739130434785</v>
      </c>
      <c r="U139" s="11">
        <v>393.55347999999992</v>
      </c>
      <c r="V139" s="12">
        <f t="shared" si="40"/>
        <v>266.34652000000006</v>
      </c>
      <c r="W139" s="12">
        <f t="shared" si="27"/>
        <v>266.34652000000006</v>
      </c>
      <c r="X139" s="12">
        <f t="shared" si="28"/>
        <v>0</v>
      </c>
      <c r="Y139" s="20">
        <f t="shared" si="41"/>
        <v>10.993911304347932</v>
      </c>
      <c r="Z139" s="12">
        <f t="shared" si="42"/>
        <v>10.993911304347932</v>
      </c>
      <c r="AA139" s="12">
        <f t="shared" si="43"/>
        <v>0</v>
      </c>
      <c r="AB139" s="8">
        <v>9.4</v>
      </c>
      <c r="AC139" s="20">
        <f t="shared" si="29"/>
        <v>70202.127659574457</v>
      </c>
      <c r="AD139" s="20">
        <f t="shared" si="44"/>
        <v>43036.956521739128</v>
      </c>
      <c r="AE139" s="20">
        <f t="shared" si="30"/>
        <v>41867.391489361697</v>
      </c>
      <c r="AF139" s="21">
        <f t="shared" si="31"/>
        <v>28334.73617021276</v>
      </c>
      <c r="AG139" s="23">
        <f t="shared" si="32"/>
        <v>15.333333333333332</v>
      </c>
      <c r="AH139" s="20">
        <f t="shared" si="33"/>
        <v>43036.956521739135</v>
      </c>
      <c r="AI139" s="20">
        <f t="shared" si="34"/>
        <v>25666.531304347824</v>
      </c>
      <c r="AJ139" s="20">
        <f t="shared" si="45"/>
        <v>17370.425217391312</v>
      </c>
      <c r="AK139" s="47">
        <f t="shared" si="35"/>
        <v>1.6312056737588652</v>
      </c>
    </row>
    <row r="140" spans="1:37" x14ac:dyDescent="0.25">
      <c r="A140" s="8" t="s">
        <v>28</v>
      </c>
      <c r="B140" s="8" t="s">
        <v>263</v>
      </c>
      <c r="C140" s="8" t="s">
        <v>164</v>
      </c>
      <c r="D140" s="8">
        <v>3</v>
      </c>
      <c r="E140" s="8">
        <v>4</v>
      </c>
      <c r="F140" s="8">
        <v>1</v>
      </c>
      <c r="G140" s="8">
        <f t="shared" si="36"/>
        <v>8</v>
      </c>
      <c r="K140" s="8">
        <f t="shared" si="37"/>
        <v>0</v>
      </c>
      <c r="L140" s="8">
        <v>3</v>
      </c>
      <c r="M140" s="8">
        <v>1</v>
      </c>
      <c r="N140" s="8">
        <v>0</v>
      </c>
      <c r="O140" s="8">
        <f t="shared" si="38"/>
        <v>4</v>
      </c>
      <c r="P140" s="31">
        <v>1.8</v>
      </c>
      <c r="Q140" s="31">
        <v>1.25</v>
      </c>
      <c r="R140" s="66">
        <f>IF(A140='Свод по районам'!$A$16,'Свод по районам'!$G$16,0)</f>
        <v>1.65110517196562</v>
      </c>
      <c r="S140" s="76">
        <f>ROUND(((D140*$K$7+E140*$K$8+F140*$K$9)+(H140*$AA$7+I140*$AA$8+J140*$AA$9)+(L140*'по детям'!$K$10*0.2+M140*'по детям'!$K$11*0.2+N140*'по детям'!$K$12*0.2))*P140*Q140/1.302/12,1)</f>
        <v>575.4</v>
      </c>
      <c r="T140" s="12">
        <f t="shared" si="39"/>
        <v>504.91349999999994</v>
      </c>
      <c r="U140" s="11">
        <v>366.54039000000006</v>
      </c>
      <c r="V140" s="12">
        <f t="shared" si="40"/>
        <v>208.85960999999992</v>
      </c>
      <c r="W140" s="12">
        <f t="shared" si="27"/>
        <v>208.85960999999992</v>
      </c>
      <c r="X140" s="12">
        <f t="shared" si="28"/>
        <v>0</v>
      </c>
      <c r="Y140" s="20">
        <f t="shared" si="41"/>
        <v>138.37310999999988</v>
      </c>
      <c r="Z140" s="12">
        <f t="shared" si="42"/>
        <v>138.37310999999988</v>
      </c>
      <c r="AA140" s="12">
        <f t="shared" si="43"/>
        <v>0</v>
      </c>
      <c r="AB140" s="8">
        <v>11.7</v>
      </c>
      <c r="AC140" s="20">
        <f t="shared" si="29"/>
        <v>49179.48717948718</v>
      </c>
      <c r="AD140" s="20">
        <f t="shared" si="44"/>
        <v>43155</v>
      </c>
      <c r="AE140" s="20">
        <f t="shared" si="30"/>
        <v>31328.238461538469</v>
      </c>
      <c r="AF140" s="21">
        <f t="shared" si="31"/>
        <v>17851.248717948711</v>
      </c>
      <c r="AG140" s="23">
        <f t="shared" si="32"/>
        <v>13.333333333333332</v>
      </c>
      <c r="AH140" s="20">
        <f t="shared" si="33"/>
        <v>43155</v>
      </c>
      <c r="AI140" s="20">
        <f t="shared" si="34"/>
        <v>27490.529250000007</v>
      </c>
      <c r="AJ140" s="20">
        <f t="shared" si="45"/>
        <v>15664.470749999993</v>
      </c>
      <c r="AK140" s="47">
        <f t="shared" si="35"/>
        <v>1.1396011396011396</v>
      </c>
    </row>
    <row r="141" spans="1:37" x14ac:dyDescent="0.25">
      <c r="A141" s="8" t="s">
        <v>28</v>
      </c>
      <c r="B141" s="8" t="s">
        <v>263</v>
      </c>
      <c r="C141" s="8" t="s">
        <v>165</v>
      </c>
      <c r="D141" s="8">
        <v>2</v>
      </c>
      <c r="E141" s="8">
        <v>5</v>
      </c>
      <c r="F141" s="8">
        <v>1</v>
      </c>
      <c r="G141" s="8">
        <f t="shared" si="36"/>
        <v>8</v>
      </c>
      <c r="K141" s="8">
        <f t="shared" si="37"/>
        <v>0</v>
      </c>
      <c r="L141" s="8">
        <v>1</v>
      </c>
      <c r="M141" s="8">
        <v>0</v>
      </c>
      <c r="N141" s="8">
        <v>0</v>
      </c>
      <c r="O141" s="8">
        <f t="shared" si="38"/>
        <v>1</v>
      </c>
      <c r="P141" s="31">
        <v>1.8</v>
      </c>
      <c r="Q141" s="31">
        <v>1.25</v>
      </c>
      <c r="R141" s="66">
        <f>IF(A141='Свод по районам'!$A$16,'Свод по районам'!$G$16,0)</f>
        <v>1.65110517196562</v>
      </c>
      <c r="S141" s="76">
        <f>ROUND(((D141*$K$7+E141*$K$8+F141*$K$9)+(H141*$AA$7+I141*$AA$8+J141*$AA$9)+(L141*'по детям'!$K$10*0.2+M141*'по детям'!$K$11*0.2+N141*'по детям'!$K$12*0.2))*P141*Q141/1.302/12,1)</f>
        <v>594.20000000000005</v>
      </c>
      <c r="T141" s="12">
        <f t="shared" si="39"/>
        <v>408.06506024096393</v>
      </c>
      <c r="U141" s="11">
        <v>373.85894000000002</v>
      </c>
      <c r="V141" s="12">
        <f t="shared" si="40"/>
        <v>220.34106000000003</v>
      </c>
      <c r="W141" s="12">
        <f t="shared" si="27"/>
        <v>220.34106000000003</v>
      </c>
      <c r="X141" s="12">
        <f t="shared" si="28"/>
        <v>0</v>
      </c>
      <c r="Y141" s="20">
        <f t="shared" si="41"/>
        <v>34.206120240963912</v>
      </c>
      <c r="Z141" s="12">
        <f t="shared" si="42"/>
        <v>34.206120240963912</v>
      </c>
      <c r="AA141" s="12">
        <f t="shared" si="43"/>
        <v>0</v>
      </c>
      <c r="AB141" s="8">
        <v>9.5</v>
      </c>
      <c r="AC141" s="20">
        <f t="shared" si="29"/>
        <v>62547.368421052641</v>
      </c>
      <c r="AD141" s="20">
        <f t="shared" si="44"/>
        <v>42954.216867469891</v>
      </c>
      <c r="AE141" s="20">
        <f t="shared" si="30"/>
        <v>39353.572631578951</v>
      </c>
      <c r="AF141" s="21">
        <f t="shared" si="31"/>
        <v>23193.79578947369</v>
      </c>
      <c r="AG141" s="23">
        <f t="shared" si="32"/>
        <v>13.833333333333332</v>
      </c>
      <c r="AH141" s="20">
        <f t="shared" si="33"/>
        <v>42954.216867469891</v>
      </c>
      <c r="AI141" s="20">
        <f t="shared" si="34"/>
        <v>27025.947469879524</v>
      </c>
      <c r="AJ141" s="20">
        <f t="shared" si="45"/>
        <v>15928.269397590368</v>
      </c>
      <c r="AK141" s="47">
        <f t="shared" si="35"/>
        <v>1.4561403508771928</v>
      </c>
    </row>
    <row r="142" spans="1:37" x14ac:dyDescent="0.25">
      <c r="A142" s="8" t="s">
        <v>28</v>
      </c>
      <c r="C142" s="8" t="s">
        <v>166</v>
      </c>
      <c r="D142" s="8">
        <v>3</v>
      </c>
      <c r="E142" s="8">
        <v>5</v>
      </c>
      <c r="F142" s="8">
        <v>1</v>
      </c>
      <c r="G142" s="8">
        <f t="shared" si="36"/>
        <v>9</v>
      </c>
      <c r="K142" s="8">
        <f t="shared" si="37"/>
        <v>0</v>
      </c>
      <c r="L142" s="8">
        <v>0</v>
      </c>
      <c r="M142" s="8">
        <v>0</v>
      </c>
      <c r="N142" s="8">
        <v>0</v>
      </c>
      <c r="O142" s="8">
        <f t="shared" si="38"/>
        <v>0</v>
      </c>
      <c r="P142" s="31">
        <v>1.8</v>
      </c>
      <c r="Q142" s="31">
        <v>1.25</v>
      </c>
      <c r="R142" s="66">
        <f>IF(A142='Свод по районам'!$A$16,'Свод по районам'!$G$16,0)</f>
        <v>1.65110517196562</v>
      </c>
      <c r="S142" s="76">
        <f>ROUND(((D142*$K$7+E142*$K$8+F142*$K$9)+(H142*$AA$7+I142*$AA$8+J142*$AA$9)+(L142*'по детям'!$K$10*0.2+M142*'по детям'!$K$11*0.2+N142*'по детям'!$K$12*0.2))*P142*Q142/1.302/12,1)</f>
        <v>651.5</v>
      </c>
      <c r="T142" s="12">
        <f t="shared" si="39"/>
        <v>519.76813186813195</v>
      </c>
      <c r="U142" s="11">
        <v>379.63749999999999</v>
      </c>
      <c r="V142" s="12">
        <f t="shared" si="40"/>
        <v>271.86250000000001</v>
      </c>
      <c r="W142" s="12">
        <f t="shared" si="27"/>
        <v>271.86250000000001</v>
      </c>
      <c r="X142" s="12">
        <f t="shared" si="28"/>
        <v>0</v>
      </c>
      <c r="Y142" s="20">
        <f t="shared" si="41"/>
        <v>140.13063186813196</v>
      </c>
      <c r="Z142" s="12">
        <f t="shared" si="42"/>
        <v>140.13063186813196</v>
      </c>
      <c r="AA142" s="12">
        <f t="shared" si="43"/>
        <v>0</v>
      </c>
      <c r="AB142" s="8">
        <v>12.1</v>
      </c>
      <c r="AC142" s="20">
        <f t="shared" si="29"/>
        <v>53842.975206611569</v>
      </c>
      <c r="AD142" s="20">
        <f t="shared" si="44"/>
        <v>42956.043956043963</v>
      </c>
      <c r="AE142" s="20">
        <f t="shared" si="30"/>
        <v>31375</v>
      </c>
      <c r="AF142" s="21">
        <f t="shared" si="31"/>
        <v>22467.975206611569</v>
      </c>
      <c r="AG142" s="23">
        <f t="shared" si="32"/>
        <v>15.166666666666666</v>
      </c>
      <c r="AH142" s="20">
        <f t="shared" si="33"/>
        <v>42956.043956043955</v>
      </c>
      <c r="AI142" s="20">
        <f t="shared" si="34"/>
        <v>25031.043956043955</v>
      </c>
      <c r="AJ142" s="20">
        <f t="shared" si="45"/>
        <v>17925</v>
      </c>
      <c r="AK142" s="47">
        <f t="shared" si="35"/>
        <v>1.2534435261707988</v>
      </c>
    </row>
    <row r="143" spans="1:37" x14ac:dyDescent="0.25">
      <c r="A143" s="8" t="s">
        <v>28</v>
      </c>
      <c r="B143" s="8" t="s">
        <v>263</v>
      </c>
      <c r="C143" s="8" t="s">
        <v>167</v>
      </c>
      <c r="D143" s="8">
        <v>2</v>
      </c>
      <c r="E143" s="8">
        <v>3</v>
      </c>
      <c r="G143" s="8">
        <f t="shared" si="36"/>
        <v>5</v>
      </c>
      <c r="H143" s="8">
        <v>1</v>
      </c>
      <c r="K143" s="8">
        <f t="shared" si="37"/>
        <v>1</v>
      </c>
      <c r="L143" s="8">
        <v>1</v>
      </c>
      <c r="M143" s="8">
        <v>4</v>
      </c>
      <c r="N143" s="8">
        <v>0</v>
      </c>
      <c r="O143" s="8">
        <f t="shared" si="38"/>
        <v>5</v>
      </c>
      <c r="P143" s="31">
        <v>1.8</v>
      </c>
      <c r="Q143" s="31">
        <v>1.25</v>
      </c>
      <c r="R143" s="66">
        <f>IF(A143='Свод по районам'!$A$16,'Свод по районам'!$G$16,0)</f>
        <v>1.65110517196562</v>
      </c>
      <c r="S143" s="76">
        <f>ROUND(((D143*$K$7+E143*$K$8+F143*$K$9)+(H143*$AA$7+I143*$AA$8+J143*$AA$9)+(L143*'по детям'!$K$10*0.2+M143*'по детям'!$K$11*0.2+N143*'по детям'!$K$12*0.2))*P143*Q143/1.302/12,1)</f>
        <v>368.8</v>
      </c>
      <c r="T143" s="12">
        <f t="shared" si="39"/>
        <v>342.62709677419355</v>
      </c>
      <c r="U143" s="11">
        <v>247.29981000000001</v>
      </c>
      <c r="V143" s="12">
        <f t="shared" si="40"/>
        <v>121.50019</v>
      </c>
      <c r="W143" s="12">
        <f t="shared" ref="W143:W207" si="46">IF(V143&gt;0,V143,0)</f>
        <v>121.50019</v>
      </c>
      <c r="X143" s="12">
        <f t="shared" ref="X143:X207" si="47">IF(V143&lt;0,V143,0)</f>
        <v>0</v>
      </c>
      <c r="Y143" s="20">
        <f t="shared" si="41"/>
        <v>95.327286774193539</v>
      </c>
      <c r="Z143" s="12">
        <f t="shared" si="42"/>
        <v>95.327286774193539</v>
      </c>
      <c r="AA143" s="12">
        <f t="shared" si="43"/>
        <v>0</v>
      </c>
      <c r="AB143" s="8">
        <v>8</v>
      </c>
      <c r="AC143" s="20">
        <f t="shared" ref="AC143:AC207" si="48">S143/AB143*1000</f>
        <v>46100</v>
      </c>
      <c r="AD143" s="20">
        <f t="shared" si="44"/>
        <v>42828.387096774197</v>
      </c>
      <c r="AE143" s="20">
        <f t="shared" ref="AE143:AE207" si="49">U143/AB143*1000</f>
        <v>30912.47625</v>
      </c>
      <c r="AF143" s="21">
        <f t="shared" ref="AF143:AF207" si="50">AC143-AE143</f>
        <v>15187.52375</v>
      </c>
      <c r="AG143" s="23">
        <f t="shared" ref="AG143:AG207" si="51">(D143*$F$7+E143*$F$8+F143*$F$9)+(H143*$V$7+I143*$V$8+J143*$V$9)</f>
        <v>8.6111111111111107</v>
      </c>
      <c r="AH143" s="20">
        <f t="shared" ref="AH143:AH207" si="52">S143/AG143*1000</f>
        <v>42828.387096774197</v>
      </c>
      <c r="AI143" s="20">
        <f t="shared" ref="AI143:AI207" si="53">U143/AG143*1000</f>
        <v>28718.687612903228</v>
      </c>
      <c r="AJ143" s="20">
        <f t="shared" si="45"/>
        <v>14109.699483870969</v>
      </c>
      <c r="AK143" s="47">
        <f t="shared" ref="AK143:AK207" si="54">AG143/AB143</f>
        <v>1.0763888888888888</v>
      </c>
    </row>
    <row r="144" spans="1:37" x14ac:dyDescent="0.25">
      <c r="A144" s="8" t="s">
        <v>29</v>
      </c>
      <c r="C144" s="8" t="s">
        <v>168</v>
      </c>
      <c r="D144" s="8">
        <v>2</v>
      </c>
      <c r="G144" s="8">
        <f t="shared" ref="G144:G208" si="55">SUM(D144:F144)</f>
        <v>2</v>
      </c>
      <c r="K144" s="8">
        <f t="shared" ref="K144:K208" si="56">H144+I144+J144</f>
        <v>0</v>
      </c>
      <c r="L144" s="8">
        <v>0</v>
      </c>
      <c r="M144" s="8">
        <v>0</v>
      </c>
      <c r="N144" s="8">
        <v>0</v>
      </c>
      <c r="O144" s="8">
        <f t="shared" ref="O144:O208" si="57">L144+M144+N144</f>
        <v>0</v>
      </c>
      <c r="P144" s="10">
        <v>1.5</v>
      </c>
      <c r="Q144" s="31">
        <v>1.25</v>
      </c>
      <c r="R144" s="66">
        <f>IF(A144='Свод по районам'!$A$17,'Свод по районам'!$G$17,0)</f>
        <v>1.5018371918905604</v>
      </c>
      <c r="S144" s="76">
        <f>ROUND(((D144*$K$7+E144*$K$8+F144*$K$9)+(H144*$AA$7+I144*$AA$8+J144*$AA$9)+(L144*'по детям'!$K$10*0.2+M144*'по детям'!$K$11*0.2+N144*'по детям'!$K$12*0.2))*P144*Q144/1.302/12,1)</f>
        <v>96.3</v>
      </c>
      <c r="T144" s="12">
        <f t="shared" ref="T144:T208" si="58">S144/AK144</f>
        <v>50.557499999999997</v>
      </c>
      <c r="U144" s="11">
        <v>55.108449999999998</v>
      </c>
      <c r="V144" s="12">
        <f t="shared" ref="V144:V208" si="59">S144-U144</f>
        <v>41.191549999999999</v>
      </c>
      <c r="W144" s="12">
        <f t="shared" si="46"/>
        <v>41.191549999999999</v>
      </c>
      <c r="X144" s="12">
        <f t="shared" si="47"/>
        <v>0</v>
      </c>
      <c r="Y144" s="20">
        <f t="shared" ref="Y144:Y208" si="60">T144-U144</f>
        <v>-4.5509500000000003</v>
      </c>
      <c r="Z144" s="12">
        <f t="shared" ref="Z144:Z208" si="61">IF(Y144&gt;0,Y144,0)</f>
        <v>0</v>
      </c>
      <c r="AA144" s="12">
        <f t="shared" ref="AA144:AA208" si="62">IF(Y144&lt;0,Y144,0)</f>
        <v>-4.5509500000000003</v>
      </c>
      <c r="AB144" s="8">
        <v>1.4</v>
      </c>
      <c r="AC144" s="20">
        <f t="shared" si="48"/>
        <v>68785.71428571429</v>
      </c>
      <c r="AD144" s="20">
        <f t="shared" ref="AD144:AD208" si="63">T144/AB144*1000</f>
        <v>36112.5</v>
      </c>
      <c r="AE144" s="20">
        <f t="shared" si="49"/>
        <v>39363.178571428572</v>
      </c>
      <c r="AF144" s="21">
        <f t="shared" si="50"/>
        <v>29422.535714285717</v>
      </c>
      <c r="AG144" s="23">
        <f t="shared" si="51"/>
        <v>2.6666666666666665</v>
      </c>
      <c r="AH144" s="20">
        <f t="shared" si="52"/>
        <v>36112.500000000007</v>
      </c>
      <c r="AI144" s="20">
        <f t="shared" si="53"/>
        <v>20665.668750000001</v>
      </c>
      <c r="AJ144" s="20">
        <f t="shared" ref="AJ144:AJ208" si="64">AH144-AI144</f>
        <v>15446.831250000007</v>
      </c>
      <c r="AK144" s="47">
        <f t="shared" si="54"/>
        <v>1.9047619047619049</v>
      </c>
    </row>
    <row r="145" spans="1:37" x14ac:dyDescent="0.25">
      <c r="A145" s="8" t="s">
        <v>29</v>
      </c>
      <c r="B145" s="8" t="s">
        <v>263</v>
      </c>
      <c r="C145" s="8" t="s">
        <v>169</v>
      </c>
      <c r="D145" s="8">
        <v>3</v>
      </c>
      <c r="E145" s="8">
        <v>3</v>
      </c>
      <c r="G145" s="8">
        <f t="shared" si="55"/>
        <v>6</v>
      </c>
      <c r="K145" s="8">
        <f t="shared" si="56"/>
        <v>0</v>
      </c>
      <c r="L145" s="8">
        <v>0</v>
      </c>
      <c r="M145" s="8">
        <v>0</v>
      </c>
      <c r="N145" s="8">
        <v>0</v>
      </c>
      <c r="O145" s="8">
        <f t="shared" si="57"/>
        <v>0</v>
      </c>
      <c r="P145" s="31">
        <v>1.5</v>
      </c>
      <c r="Q145" s="31">
        <v>1.25</v>
      </c>
      <c r="R145" s="66">
        <f>IF(A145='Свод по районам'!$A$17,'Свод по районам'!$G$17,0)</f>
        <v>1.5018371918905604</v>
      </c>
      <c r="S145" s="76">
        <f>ROUND(((D145*$K$7+E145*$K$8+F145*$K$9)+(H145*$AA$7+I145*$AA$8+J145*$AA$9)+(L145*'по детям'!$K$10*0.2+M145*'по детям'!$K$11*0.2+N145*'по детям'!$K$12*0.2))*P145*Q145/1.302/12,1)</f>
        <v>340.7</v>
      </c>
      <c r="T145" s="12">
        <f t="shared" si="58"/>
        <v>344.28631578947363</v>
      </c>
      <c r="U145" s="11">
        <v>247.63486000000006</v>
      </c>
      <c r="V145" s="12">
        <f t="shared" si="59"/>
        <v>93.065139999999928</v>
      </c>
      <c r="W145" s="12">
        <f t="shared" si="46"/>
        <v>93.065139999999928</v>
      </c>
      <c r="X145" s="12">
        <f t="shared" si="47"/>
        <v>0</v>
      </c>
      <c r="Y145" s="20">
        <f t="shared" si="60"/>
        <v>96.651455789473573</v>
      </c>
      <c r="Z145" s="12">
        <f t="shared" si="61"/>
        <v>96.651455789473573</v>
      </c>
      <c r="AA145" s="12">
        <f t="shared" si="62"/>
        <v>0</v>
      </c>
      <c r="AB145" s="8">
        <v>9.6</v>
      </c>
      <c r="AC145" s="20">
        <f t="shared" si="48"/>
        <v>35489.583333333336</v>
      </c>
      <c r="AD145" s="20">
        <f t="shared" si="63"/>
        <v>35863.15789473684</v>
      </c>
      <c r="AE145" s="20">
        <f t="shared" si="49"/>
        <v>25795.297916666674</v>
      </c>
      <c r="AF145" s="21">
        <f t="shared" si="50"/>
        <v>9694.2854166666621</v>
      </c>
      <c r="AG145" s="23">
        <f t="shared" si="51"/>
        <v>9.5</v>
      </c>
      <c r="AH145" s="20">
        <f t="shared" si="52"/>
        <v>35863.157894736847</v>
      </c>
      <c r="AI145" s="20">
        <f t="shared" si="53"/>
        <v>26066.827368421058</v>
      </c>
      <c r="AJ145" s="20">
        <f t="shared" si="64"/>
        <v>9796.330526315789</v>
      </c>
      <c r="AK145" s="47">
        <f t="shared" si="54"/>
        <v>0.98958333333333337</v>
      </c>
    </row>
    <row r="146" spans="1:37" x14ac:dyDescent="0.25">
      <c r="A146" s="8" t="s">
        <v>29</v>
      </c>
      <c r="C146" s="8" t="s">
        <v>170</v>
      </c>
      <c r="D146" s="8">
        <v>2</v>
      </c>
      <c r="E146" s="8">
        <v>5</v>
      </c>
      <c r="G146" s="8">
        <f t="shared" si="55"/>
        <v>7</v>
      </c>
      <c r="I146" s="8">
        <v>7</v>
      </c>
      <c r="K146" s="8">
        <f t="shared" si="56"/>
        <v>7</v>
      </c>
      <c r="L146" s="8">
        <v>0</v>
      </c>
      <c r="M146" s="8">
        <v>0</v>
      </c>
      <c r="N146" s="8">
        <v>0</v>
      </c>
      <c r="O146" s="8">
        <f t="shared" si="57"/>
        <v>0</v>
      </c>
      <c r="P146" s="31">
        <v>1.5</v>
      </c>
      <c r="Q146" s="31">
        <v>1.25</v>
      </c>
      <c r="R146" s="66">
        <f>IF(A146='Свод по районам'!$A$17,'Свод по районам'!$G$17,0)</f>
        <v>1.5018371918905604</v>
      </c>
      <c r="S146" s="76">
        <f>ROUND(((D146*$K$7+E146*$K$8+F146*$K$9)+(H146*$AA$7+I146*$AA$8+J146*$AA$9)+(L146*'по детям'!$K$10*0.2+M146*'по детям'!$K$11*0.2+N146*'по детям'!$K$12*0.2))*P146*Q146/1.302/12,1)</f>
        <v>534.29999999999995</v>
      </c>
      <c r="T146" s="12">
        <f t="shared" si="58"/>
        <v>371.43062068965514</v>
      </c>
      <c r="U146" s="11">
        <v>298.98401000000001</v>
      </c>
      <c r="V146" s="12">
        <f t="shared" si="59"/>
        <v>235.31598999999994</v>
      </c>
      <c r="W146" s="12">
        <f t="shared" si="46"/>
        <v>235.31598999999994</v>
      </c>
      <c r="X146" s="12">
        <f t="shared" si="47"/>
        <v>0</v>
      </c>
      <c r="Y146" s="20">
        <f t="shared" si="60"/>
        <v>72.446610689655131</v>
      </c>
      <c r="Z146" s="12">
        <f t="shared" si="61"/>
        <v>72.446610689655131</v>
      </c>
      <c r="AA146" s="12">
        <f t="shared" si="62"/>
        <v>0</v>
      </c>
      <c r="AB146" s="8">
        <v>11.2</v>
      </c>
      <c r="AC146" s="20">
        <f t="shared" si="48"/>
        <v>47705.357142857138</v>
      </c>
      <c r="AD146" s="20">
        <f t="shared" si="63"/>
        <v>33163.448275862065</v>
      </c>
      <c r="AE146" s="20">
        <f t="shared" si="49"/>
        <v>26695.000892857144</v>
      </c>
      <c r="AF146" s="21">
        <f t="shared" si="50"/>
        <v>21010.356249999993</v>
      </c>
      <c r="AG146" s="23">
        <f t="shared" si="51"/>
        <v>16.111111111111111</v>
      </c>
      <c r="AH146" s="20">
        <f t="shared" si="52"/>
        <v>33163.448275862065</v>
      </c>
      <c r="AI146" s="20">
        <f t="shared" si="53"/>
        <v>18557.628206896552</v>
      </c>
      <c r="AJ146" s="20">
        <f t="shared" si="64"/>
        <v>14605.820068965513</v>
      </c>
      <c r="AK146" s="47">
        <f t="shared" si="54"/>
        <v>1.4384920634920635</v>
      </c>
    </row>
    <row r="147" spans="1:37" x14ac:dyDescent="0.25">
      <c r="A147" s="8" t="s">
        <v>29</v>
      </c>
      <c r="B147" s="8" t="s">
        <v>263</v>
      </c>
      <c r="C147" s="8" t="s">
        <v>171</v>
      </c>
      <c r="D147" s="8">
        <v>3</v>
      </c>
      <c r="E147" s="8">
        <v>4</v>
      </c>
      <c r="F147" s="8">
        <v>1</v>
      </c>
      <c r="G147" s="8">
        <f t="shared" si="55"/>
        <v>8</v>
      </c>
      <c r="K147" s="8">
        <f t="shared" si="56"/>
        <v>0</v>
      </c>
      <c r="L147" s="8">
        <v>0</v>
      </c>
      <c r="M147" s="8">
        <v>0</v>
      </c>
      <c r="N147" s="8">
        <v>0</v>
      </c>
      <c r="O147" s="8">
        <f t="shared" si="57"/>
        <v>0</v>
      </c>
      <c r="P147" s="31">
        <v>1.5</v>
      </c>
      <c r="Q147" s="31">
        <v>1.25</v>
      </c>
      <c r="R147" s="66">
        <f>IF(A147='Свод по районам'!$A$17,'Свод по районам'!$G$17,0)</f>
        <v>1.5018371918905604</v>
      </c>
      <c r="S147" s="76">
        <f>ROUND(((D147*$K$7+E147*$K$8+F147*$K$9)+(H147*$AA$7+I147*$AA$8+J147*$AA$9)+(L147*'по детям'!$K$10*0.2+M147*'по детям'!$K$11*0.2+N147*'по детям'!$K$12*0.2))*P147*Q147/1.302/12,1)</f>
        <v>477.5</v>
      </c>
      <c r="T147" s="12">
        <f t="shared" si="58"/>
        <v>429.75000000000006</v>
      </c>
      <c r="U147" s="11">
        <v>299.00210000000004</v>
      </c>
      <c r="V147" s="12">
        <f t="shared" si="59"/>
        <v>178.49789999999996</v>
      </c>
      <c r="W147" s="12">
        <f t="shared" si="46"/>
        <v>178.49789999999996</v>
      </c>
      <c r="X147" s="12">
        <f t="shared" si="47"/>
        <v>0</v>
      </c>
      <c r="Y147" s="20">
        <f t="shared" si="60"/>
        <v>130.74790000000002</v>
      </c>
      <c r="Z147" s="12">
        <f t="shared" si="61"/>
        <v>130.74790000000002</v>
      </c>
      <c r="AA147" s="12">
        <f t="shared" si="62"/>
        <v>0</v>
      </c>
      <c r="AB147" s="8">
        <v>12</v>
      </c>
      <c r="AC147" s="20">
        <f t="shared" si="48"/>
        <v>39791.666666666664</v>
      </c>
      <c r="AD147" s="20">
        <f t="shared" si="63"/>
        <v>35812.500000000007</v>
      </c>
      <c r="AE147" s="20">
        <f t="shared" si="49"/>
        <v>24916.841666666671</v>
      </c>
      <c r="AF147" s="21">
        <f t="shared" si="50"/>
        <v>14874.824999999993</v>
      </c>
      <c r="AG147" s="23">
        <f t="shared" si="51"/>
        <v>13.333333333333332</v>
      </c>
      <c r="AH147" s="20">
        <f t="shared" si="52"/>
        <v>35812.5</v>
      </c>
      <c r="AI147" s="20">
        <f t="shared" si="53"/>
        <v>22425.157500000005</v>
      </c>
      <c r="AJ147" s="20">
        <f t="shared" si="64"/>
        <v>13387.342499999995</v>
      </c>
      <c r="AK147" s="47">
        <f t="shared" si="54"/>
        <v>1.1111111111111109</v>
      </c>
    </row>
    <row r="148" spans="1:37" x14ac:dyDescent="0.25">
      <c r="A148" s="8" t="s">
        <v>29</v>
      </c>
      <c r="C148" s="8" t="s">
        <v>172</v>
      </c>
      <c r="D148" s="8">
        <v>4</v>
      </c>
      <c r="E148" s="8">
        <v>5</v>
      </c>
      <c r="F148" s="8">
        <v>1</v>
      </c>
      <c r="G148" s="8">
        <f t="shared" si="55"/>
        <v>10</v>
      </c>
      <c r="H148" s="8">
        <v>3</v>
      </c>
      <c r="I148" s="8">
        <v>1</v>
      </c>
      <c r="K148" s="8">
        <f t="shared" si="56"/>
        <v>4</v>
      </c>
      <c r="L148" s="8">
        <v>6</v>
      </c>
      <c r="M148" s="8">
        <v>0</v>
      </c>
      <c r="N148" s="8">
        <v>0</v>
      </c>
      <c r="O148" s="8">
        <f t="shared" si="57"/>
        <v>6</v>
      </c>
      <c r="P148" s="31">
        <v>1.5</v>
      </c>
      <c r="Q148" s="31">
        <v>1.25</v>
      </c>
      <c r="R148" s="66">
        <f>IF(A148='Свод по районам'!$A$17,'Свод по районам'!$G$17,0)</f>
        <v>1.5018371918905604</v>
      </c>
      <c r="S148" s="76">
        <f>ROUND(((D148*$K$7+E148*$K$8+F148*$K$9)+(H148*$AA$7+I148*$AA$8+J148*$AA$9)+(L148*'по детям'!$K$10*0.2+M148*'по детям'!$K$11*0.2+N148*'по детям'!$K$12*0.2))*P148*Q148/1.302/12,1)</f>
        <v>644.70000000000005</v>
      </c>
      <c r="T148" s="12">
        <f t="shared" si="58"/>
        <v>440.41554216867479</v>
      </c>
      <c r="U148" s="11">
        <v>359.96061000000003</v>
      </c>
      <c r="V148" s="12">
        <f t="shared" si="59"/>
        <v>284.73939000000001</v>
      </c>
      <c r="W148" s="12">
        <f t="shared" si="46"/>
        <v>284.73939000000001</v>
      </c>
      <c r="X148" s="12">
        <f t="shared" si="47"/>
        <v>0</v>
      </c>
      <c r="Y148" s="20">
        <f t="shared" si="60"/>
        <v>80.454932168674759</v>
      </c>
      <c r="Z148" s="12">
        <f t="shared" si="61"/>
        <v>80.454932168674759</v>
      </c>
      <c r="AA148" s="12">
        <f t="shared" si="62"/>
        <v>0</v>
      </c>
      <c r="AB148" s="8">
        <v>12.6</v>
      </c>
      <c r="AC148" s="20">
        <f t="shared" si="48"/>
        <v>51166.666666666672</v>
      </c>
      <c r="AD148" s="20">
        <f t="shared" si="63"/>
        <v>34953.614457831332</v>
      </c>
      <c r="AE148" s="20">
        <f t="shared" si="49"/>
        <v>28568.302380952384</v>
      </c>
      <c r="AF148" s="21">
        <f t="shared" si="50"/>
        <v>22598.364285714288</v>
      </c>
      <c r="AG148" s="23">
        <f t="shared" si="51"/>
        <v>18.444444444444443</v>
      </c>
      <c r="AH148" s="20">
        <f t="shared" si="52"/>
        <v>34953.614457831325</v>
      </c>
      <c r="AI148" s="20">
        <f t="shared" si="53"/>
        <v>19515.936686746991</v>
      </c>
      <c r="AJ148" s="20">
        <f t="shared" si="64"/>
        <v>15437.677771084334</v>
      </c>
      <c r="AK148" s="47">
        <f t="shared" si="54"/>
        <v>1.4638447971781303</v>
      </c>
    </row>
    <row r="149" spans="1:37" x14ac:dyDescent="0.25">
      <c r="A149" s="8" t="s">
        <v>29</v>
      </c>
      <c r="B149" s="8" t="s">
        <v>263</v>
      </c>
      <c r="C149" s="8" t="s">
        <v>173</v>
      </c>
      <c r="D149" s="8">
        <v>2</v>
      </c>
      <c r="E149" s="8">
        <v>4</v>
      </c>
      <c r="F149" s="8">
        <v>1</v>
      </c>
      <c r="G149" s="8">
        <f t="shared" si="55"/>
        <v>7</v>
      </c>
      <c r="K149" s="8">
        <f t="shared" si="56"/>
        <v>0</v>
      </c>
      <c r="L149" s="8">
        <v>1</v>
      </c>
      <c r="M149" s="8">
        <v>0</v>
      </c>
      <c r="N149" s="8">
        <v>0</v>
      </c>
      <c r="O149" s="8">
        <f t="shared" si="57"/>
        <v>1</v>
      </c>
      <c r="P149" s="31">
        <v>1.5</v>
      </c>
      <c r="Q149" s="31">
        <v>1.25</v>
      </c>
      <c r="R149" s="66">
        <f>IF(A149='Свод по районам'!$A$17,'Свод по районам'!$G$17,0)</f>
        <v>1.5018371918905604</v>
      </c>
      <c r="S149" s="76">
        <f>ROUND(((D149*$K$7+E149*$K$8+F149*$K$9)+(H149*$AA$7+I149*$AA$8+J149*$AA$9)+(L149*'по детям'!$K$10*0.2+M149*'по детям'!$K$11*0.2+N149*'по детям'!$K$12*0.2))*P149*Q149/1.302/12,1)</f>
        <v>429.8</v>
      </c>
      <c r="T149" s="12">
        <f t="shared" si="58"/>
        <v>415.4733333333333</v>
      </c>
      <c r="U149" s="11">
        <v>300.89491000000004</v>
      </c>
      <c r="V149" s="12">
        <f t="shared" si="59"/>
        <v>128.90508999999997</v>
      </c>
      <c r="W149" s="12">
        <f t="shared" si="46"/>
        <v>128.90508999999997</v>
      </c>
      <c r="X149" s="12">
        <f t="shared" si="47"/>
        <v>0</v>
      </c>
      <c r="Y149" s="20">
        <f t="shared" si="60"/>
        <v>114.57842333333326</v>
      </c>
      <c r="Z149" s="12">
        <f t="shared" si="61"/>
        <v>114.57842333333326</v>
      </c>
      <c r="AA149" s="12">
        <f t="shared" si="62"/>
        <v>0</v>
      </c>
      <c r="AB149" s="8">
        <v>11.6</v>
      </c>
      <c r="AC149" s="20">
        <f t="shared" si="48"/>
        <v>37051.724137931036</v>
      </c>
      <c r="AD149" s="20">
        <f t="shared" si="63"/>
        <v>35816.666666666664</v>
      </c>
      <c r="AE149" s="20">
        <f t="shared" si="49"/>
        <v>25939.21637931035</v>
      </c>
      <c r="AF149" s="21">
        <f t="shared" si="50"/>
        <v>11112.507758620686</v>
      </c>
      <c r="AG149" s="23">
        <f t="shared" si="51"/>
        <v>12</v>
      </c>
      <c r="AH149" s="20">
        <f t="shared" si="52"/>
        <v>35816.666666666672</v>
      </c>
      <c r="AI149" s="20">
        <f t="shared" si="53"/>
        <v>25074.575833333336</v>
      </c>
      <c r="AJ149" s="20">
        <f t="shared" si="64"/>
        <v>10742.090833333335</v>
      </c>
      <c r="AK149" s="47">
        <f t="shared" si="54"/>
        <v>1.0344827586206897</v>
      </c>
    </row>
    <row r="150" spans="1:37" x14ac:dyDescent="0.25">
      <c r="A150" s="8" t="s">
        <v>29</v>
      </c>
      <c r="B150" s="8" t="s">
        <v>263</v>
      </c>
      <c r="C150" s="8" t="s">
        <v>174</v>
      </c>
      <c r="D150" s="8">
        <v>3</v>
      </c>
      <c r="E150" s="8">
        <v>4</v>
      </c>
      <c r="G150" s="8">
        <f t="shared" si="55"/>
        <v>7</v>
      </c>
      <c r="K150" s="8">
        <f t="shared" si="56"/>
        <v>0</v>
      </c>
      <c r="L150" s="8">
        <v>3</v>
      </c>
      <c r="M150" s="8">
        <v>2</v>
      </c>
      <c r="N150" s="8">
        <v>0</v>
      </c>
      <c r="O150" s="8">
        <f t="shared" si="57"/>
        <v>5</v>
      </c>
      <c r="P150" s="31">
        <v>1.5</v>
      </c>
      <c r="Q150" s="31">
        <v>1.25</v>
      </c>
      <c r="R150" s="66">
        <f>IF(A150='Свод по районам'!$A$17,'Свод по районам'!$G$17,0)</f>
        <v>1.5018371918905604</v>
      </c>
      <c r="S150" s="76">
        <f>ROUND(((D150*$K$7+E150*$K$8+F150*$K$9)+(H150*$AA$7+I150*$AA$8+J150*$AA$9)+(L150*'по детям'!$K$10*0.2+M150*'по детям'!$K$11*0.2+N150*'по детям'!$K$12*0.2))*P150*Q150/1.302/12,1)</f>
        <v>408.8</v>
      </c>
      <c r="T150" s="12">
        <f t="shared" si="58"/>
        <v>385.9552941176471</v>
      </c>
      <c r="U150" s="11">
        <v>254.77589</v>
      </c>
      <c r="V150" s="12">
        <f t="shared" si="59"/>
        <v>154.02411000000001</v>
      </c>
      <c r="W150" s="12">
        <f t="shared" si="46"/>
        <v>154.02411000000001</v>
      </c>
      <c r="X150" s="12">
        <f t="shared" si="47"/>
        <v>0</v>
      </c>
      <c r="Y150" s="20">
        <f t="shared" si="60"/>
        <v>131.1794041176471</v>
      </c>
      <c r="Z150" s="12">
        <f t="shared" si="61"/>
        <v>131.1794041176471</v>
      </c>
      <c r="AA150" s="12">
        <f t="shared" si="62"/>
        <v>0</v>
      </c>
      <c r="AB150" s="8">
        <v>10.7</v>
      </c>
      <c r="AC150" s="20">
        <f t="shared" si="48"/>
        <v>38205.607476635523</v>
      </c>
      <c r="AD150" s="20">
        <f t="shared" si="63"/>
        <v>36070.588235294126</v>
      </c>
      <c r="AE150" s="20">
        <f t="shared" si="49"/>
        <v>23810.830841121497</v>
      </c>
      <c r="AF150" s="21">
        <f t="shared" si="50"/>
        <v>14394.776635514027</v>
      </c>
      <c r="AG150" s="23">
        <f t="shared" si="51"/>
        <v>11.333333333333332</v>
      </c>
      <c r="AH150" s="20">
        <f t="shared" si="52"/>
        <v>36070.588235294126</v>
      </c>
      <c r="AI150" s="20">
        <f t="shared" si="53"/>
        <v>22480.225588235295</v>
      </c>
      <c r="AJ150" s="20">
        <f t="shared" si="64"/>
        <v>13590.362647058831</v>
      </c>
      <c r="AK150" s="47">
        <f t="shared" si="54"/>
        <v>1.0591900311526479</v>
      </c>
    </row>
    <row r="151" spans="1:37" x14ac:dyDescent="0.25">
      <c r="A151" s="8" t="s">
        <v>29</v>
      </c>
      <c r="C151" s="8" t="s">
        <v>175</v>
      </c>
      <c r="D151" s="8">
        <v>4</v>
      </c>
      <c r="E151" s="8">
        <v>5</v>
      </c>
      <c r="F151" s="8">
        <v>1</v>
      </c>
      <c r="G151" s="8">
        <f t="shared" si="55"/>
        <v>10</v>
      </c>
      <c r="K151" s="8">
        <f t="shared" si="56"/>
        <v>0</v>
      </c>
      <c r="L151" s="8">
        <v>1</v>
      </c>
      <c r="M151" s="8">
        <v>0</v>
      </c>
      <c r="N151" s="8">
        <v>0</v>
      </c>
      <c r="O151" s="8">
        <f t="shared" si="57"/>
        <v>1</v>
      </c>
      <c r="P151" s="31">
        <v>1.5</v>
      </c>
      <c r="Q151" s="31">
        <v>1.25</v>
      </c>
      <c r="R151" s="66">
        <f>IF(A151='Свод по районам'!$A$17,'Свод по районам'!$G$17,0)</f>
        <v>1.5018371918905604</v>
      </c>
      <c r="S151" s="76">
        <f>ROUND(((D151*$K$7+E151*$K$8+F151*$K$9)+(H151*$AA$7+I151*$AA$8+J151*$AA$9)+(L151*'по детям'!$K$10*0.2+M151*'по детям'!$K$11*0.2+N151*'по детям'!$K$12*0.2))*P151*Q151/1.302/12,1)</f>
        <v>591.5</v>
      </c>
      <c r="T151" s="12">
        <f t="shared" si="58"/>
        <v>440.93636363636369</v>
      </c>
      <c r="U151" s="11">
        <v>334.35903999999999</v>
      </c>
      <c r="V151" s="12">
        <f t="shared" si="59"/>
        <v>257.14096000000001</v>
      </c>
      <c r="W151" s="12">
        <f t="shared" si="46"/>
        <v>257.14096000000001</v>
      </c>
      <c r="X151" s="12">
        <f t="shared" si="47"/>
        <v>0</v>
      </c>
      <c r="Y151" s="20">
        <f t="shared" si="60"/>
        <v>106.5773236363637</v>
      </c>
      <c r="Z151" s="12">
        <f t="shared" si="61"/>
        <v>106.5773236363637</v>
      </c>
      <c r="AA151" s="12">
        <f t="shared" si="62"/>
        <v>0</v>
      </c>
      <c r="AB151" s="8">
        <v>12.3</v>
      </c>
      <c r="AC151" s="20">
        <f t="shared" si="48"/>
        <v>48089.430894308942</v>
      </c>
      <c r="AD151" s="20">
        <f t="shared" si="63"/>
        <v>35848.484848484848</v>
      </c>
      <c r="AE151" s="20">
        <f t="shared" si="49"/>
        <v>27183.661788617883</v>
      </c>
      <c r="AF151" s="21">
        <f t="shared" si="50"/>
        <v>20905.769105691059</v>
      </c>
      <c r="AG151" s="23">
        <f t="shared" si="51"/>
        <v>16.5</v>
      </c>
      <c r="AH151" s="20">
        <f t="shared" si="52"/>
        <v>35848.484848484848</v>
      </c>
      <c r="AI151" s="20">
        <f t="shared" si="53"/>
        <v>20264.184242424242</v>
      </c>
      <c r="AJ151" s="20">
        <f t="shared" si="64"/>
        <v>15584.300606060606</v>
      </c>
      <c r="AK151" s="47">
        <f t="shared" si="54"/>
        <v>1.3414634146341462</v>
      </c>
    </row>
    <row r="152" spans="1:37" x14ac:dyDescent="0.25">
      <c r="A152" s="8" t="s">
        <v>29</v>
      </c>
      <c r="C152" s="84" t="s">
        <v>364</v>
      </c>
      <c r="D152" s="8">
        <v>5</v>
      </c>
      <c r="E152" s="8">
        <v>12</v>
      </c>
      <c r="G152" s="8">
        <f t="shared" si="55"/>
        <v>17</v>
      </c>
      <c r="H152" s="8">
        <v>5</v>
      </c>
      <c r="I152" s="8">
        <v>6</v>
      </c>
      <c r="K152" s="8">
        <f t="shared" ref="K152" si="65">SUM(H152:J152)</f>
        <v>11</v>
      </c>
      <c r="L152" s="8">
        <v>13</v>
      </c>
      <c r="M152" s="8">
        <v>17</v>
      </c>
      <c r="N152" s="8">
        <v>0</v>
      </c>
      <c r="O152" s="8">
        <f t="shared" si="57"/>
        <v>30</v>
      </c>
      <c r="P152" s="31">
        <v>1.5</v>
      </c>
      <c r="Q152" s="31">
        <v>1</v>
      </c>
      <c r="R152" s="66">
        <f>IF(A152='Свод по районам'!$A$17,'Свод по районам'!$G$17,0)</f>
        <v>1.5018371918905604</v>
      </c>
      <c r="S152" s="77">
        <f>ROUND(((D152*$K$7+E152*$K$8+F152*$K$9)+(H152*$AA$7+I152*$AA$8+J152*$AA$9)+(L152*'по детям'!$K$10*0.2+M152*'по детям'!$K$11*0.2+N152*'по детям'!$K$12*0.2))*P152*Q152/1.302/12,1)</f>
        <v>957</v>
      </c>
      <c r="T152" s="12">
        <f t="shared" si="58"/>
        <v>202.1700964630225</v>
      </c>
      <c r="U152" s="11">
        <v>138.19999999999999</v>
      </c>
      <c r="V152" s="12">
        <f t="shared" si="59"/>
        <v>818.8</v>
      </c>
      <c r="W152" s="12">
        <f t="shared" si="46"/>
        <v>818.8</v>
      </c>
      <c r="X152" s="12">
        <f t="shared" si="47"/>
        <v>0</v>
      </c>
      <c r="Y152" s="20">
        <f t="shared" si="60"/>
        <v>63.970096463022514</v>
      </c>
      <c r="Z152" s="12">
        <f t="shared" si="61"/>
        <v>63.970096463022514</v>
      </c>
      <c r="AA152" s="12">
        <f t="shared" si="62"/>
        <v>0</v>
      </c>
      <c r="AB152" s="8">
        <v>7.3</v>
      </c>
      <c r="AC152" s="20">
        <f t="shared" si="48"/>
        <v>131095.89041095891</v>
      </c>
      <c r="AD152" s="20">
        <f t="shared" si="63"/>
        <v>27694.533762057876</v>
      </c>
      <c r="AE152" s="20">
        <f t="shared" si="49"/>
        <v>18931.506849315068</v>
      </c>
      <c r="AF152" s="21">
        <f t="shared" si="50"/>
        <v>112164.38356164383</v>
      </c>
      <c r="AG152" s="23">
        <f t="shared" si="51"/>
        <v>34.555555555555557</v>
      </c>
      <c r="AH152" s="20">
        <f t="shared" ref="AH152" si="66">S152/AG152*1000</f>
        <v>27694.533762057876</v>
      </c>
      <c r="AI152" s="20">
        <f t="shared" ref="AI152" si="67">U152/AG152*1000</f>
        <v>3999.3569131832792</v>
      </c>
      <c r="AJ152" s="20">
        <f t="shared" ref="AJ152" si="68">AH152-AI152</f>
        <v>23695.176848874595</v>
      </c>
      <c r="AK152" s="47">
        <f t="shared" ref="AK152" si="69">AG152/AB152</f>
        <v>4.7336377473363775</v>
      </c>
    </row>
    <row r="153" spans="1:37" x14ac:dyDescent="0.25">
      <c r="A153" s="8" t="s">
        <v>29</v>
      </c>
      <c r="B153" s="8" t="s">
        <v>263</v>
      </c>
      <c r="C153" s="8" t="s">
        <v>176</v>
      </c>
      <c r="D153" s="8">
        <v>2</v>
      </c>
      <c r="E153" s="8">
        <v>4</v>
      </c>
      <c r="G153" s="8">
        <f t="shared" si="55"/>
        <v>6</v>
      </c>
      <c r="K153" s="8">
        <f t="shared" si="56"/>
        <v>0</v>
      </c>
      <c r="L153" s="8">
        <v>0</v>
      </c>
      <c r="M153" s="8">
        <v>2</v>
      </c>
      <c r="N153" s="8">
        <v>0</v>
      </c>
      <c r="O153" s="8">
        <f t="shared" si="57"/>
        <v>2</v>
      </c>
      <c r="P153" s="31">
        <v>1.5</v>
      </c>
      <c r="Q153" s="31">
        <v>1.25</v>
      </c>
      <c r="R153" s="66">
        <f>IF(A153='Свод по районам'!$A$17,'Свод по районам'!$G$17,0)</f>
        <v>1.5018371918905604</v>
      </c>
      <c r="S153" s="76">
        <f>ROUND(((D153*$K$7+E153*$K$8+F153*$K$9)+(H153*$AA$7+I153*$AA$8+J153*$AA$9)+(L153*'по детям'!$K$10*0.2+M153*'по детям'!$K$11*0.2+N153*'по детям'!$K$12*0.2))*P153*Q153/1.302/12,1)</f>
        <v>359.3</v>
      </c>
      <c r="T153" s="12">
        <f t="shared" si="58"/>
        <v>355.70699999999999</v>
      </c>
      <c r="U153" s="11">
        <v>231.04816000000005</v>
      </c>
      <c r="V153" s="12">
        <f t="shared" si="59"/>
        <v>128.25183999999996</v>
      </c>
      <c r="W153" s="12">
        <f t="shared" si="46"/>
        <v>128.25183999999996</v>
      </c>
      <c r="X153" s="12">
        <f t="shared" si="47"/>
        <v>0</v>
      </c>
      <c r="Y153" s="20">
        <f t="shared" si="60"/>
        <v>124.65883999999994</v>
      </c>
      <c r="Z153" s="12">
        <f t="shared" si="61"/>
        <v>124.65883999999994</v>
      </c>
      <c r="AA153" s="12">
        <f t="shared" si="62"/>
        <v>0</v>
      </c>
      <c r="AB153" s="8">
        <v>9.9</v>
      </c>
      <c r="AC153" s="20">
        <f t="shared" si="48"/>
        <v>36292.929292929293</v>
      </c>
      <c r="AD153" s="20">
        <f t="shared" si="63"/>
        <v>35930</v>
      </c>
      <c r="AE153" s="20">
        <f t="shared" si="49"/>
        <v>23338.197979797988</v>
      </c>
      <c r="AF153" s="21">
        <f t="shared" si="50"/>
        <v>12954.731313131306</v>
      </c>
      <c r="AG153" s="23">
        <f t="shared" si="51"/>
        <v>10</v>
      </c>
      <c r="AH153" s="20">
        <f t="shared" si="52"/>
        <v>35930</v>
      </c>
      <c r="AI153" s="20">
        <f t="shared" si="53"/>
        <v>23104.816000000006</v>
      </c>
      <c r="AJ153" s="20">
        <f t="shared" si="64"/>
        <v>12825.183999999994</v>
      </c>
      <c r="AK153" s="47">
        <f t="shared" si="54"/>
        <v>1.0101010101010102</v>
      </c>
    </row>
    <row r="154" spans="1:37" x14ac:dyDescent="0.25">
      <c r="A154" s="8" t="s">
        <v>29</v>
      </c>
      <c r="B154" s="8" t="s">
        <v>263</v>
      </c>
      <c r="C154" s="8" t="s">
        <v>177</v>
      </c>
      <c r="D154" s="8">
        <v>2</v>
      </c>
      <c r="E154" s="8">
        <v>4</v>
      </c>
      <c r="G154" s="8">
        <f t="shared" si="55"/>
        <v>6</v>
      </c>
      <c r="K154" s="8">
        <f t="shared" si="56"/>
        <v>0</v>
      </c>
      <c r="L154" s="8">
        <v>0</v>
      </c>
      <c r="M154" s="8">
        <v>0</v>
      </c>
      <c r="N154" s="8">
        <v>0</v>
      </c>
      <c r="O154" s="8">
        <f t="shared" si="57"/>
        <v>0</v>
      </c>
      <c r="P154" s="31">
        <v>1.5</v>
      </c>
      <c r="Q154" s="31">
        <v>1.25</v>
      </c>
      <c r="R154" s="66">
        <f>IF(A154='Свод по районам'!$A$17,'Свод по районам'!$G$17,0)</f>
        <v>1.5018371918905604</v>
      </c>
      <c r="S154" s="76">
        <f>ROUND(((D154*$K$7+E154*$K$8+F154*$K$9)+(H154*$AA$7+I154*$AA$8+J154*$AA$9)+(L154*'по детям'!$K$10*0.2+M154*'по детям'!$K$11*0.2+N154*'по детям'!$K$12*0.2))*P154*Q154/1.302/12,1)</f>
        <v>358</v>
      </c>
      <c r="T154" s="12">
        <f t="shared" si="58"/>
        <v>250.6</v>
      </c>
      <c r="U154" s="11">
        <v>191.01737</v>
      </c>
      <c r="V154" s="12">
        <f t="shared" si="59"/>
        <v>166.98263</v>
      </c>
      <c r="W154" s="12">
        <f t="shared" si="46"/>
        <v>166.98263</v>
      </c>
      <c r="X154" s="12">
        <f t="shared" si="47"/>
        <v>0</v>
      </c>
      <c r="Y154" s="20">
        <f t="shared" si="60"/>
        <v>59.582629999999995</v>
      </c>
      <c r="Z154" s="12">
        <f t="shared" si="61"/>
        <v>59.582629999999995</v>
      </c>
      <c r="AA154" s="12">
        <f t="shared" si="62"/>
        <v>0</v>
      </c>
      <c r="AB154" s="8">
        <f>10-3</f>
        <v>7</v>
      </c>
      <c r="AC154" s="20">
        <f t="shared" si="48"/>
        <v>51142.857142857145</v>
      </c>
      <c r="AD154" s="20">
        <f t="shared" si="63"/>
        <v>35800</v>
      </c>
      <c r="AE154" s="20">
        <f t="shared" si="49"/>
        <v>27288.195714285714</v>
      </c>
      <c r="AF154" s="21">
        <f t="shared" si="50"/>
        <v>23854.661428571431</v>
      </c>
      <c r="AG154" s="23">
        <f t="shared" si="51"/>
        <v>10</v>
      </c>
      <c r="AH154" s="20">
        <f t="shared" si="52"/>
        <v>35800</v>
      </c>
      <c r="AI154" s="20">
        <f t="shared" si="53"/>
        <v>19101.737000000001</v>
      </c>
      <c r="AJ154" s="20">
        <f t="shared" si="64"/>
        <v>16698.262999999999</v>
      </c>
      <c r="AK154" s="47">
        <f t="shared" si="54"/>
        <v>1.4285714285714286</v>
      </c>
    </row>
    <row r="155" spans="1:37" x14ac:dyDescent="0.25">
      <c r="A155" s="8" t="s">
        <v>29</v>
      </c>
      <c r="B155" s="8" t="s">
        <v>263</v>
      </c>
      <c r="C155" s="8" t="s">
        <v>178</v>
      </c>
      <c r="D155" s="8">
        <v>2</v>
      </c>
      <c r="E155" s="8">
        <v>2</v>
      </c>
      <c r="G155" s="8">
        <f t="shared" si="55"/>
        <v>4</v>
      </c>
      <c r="K155" s="8">
        <f t="shared" si="56"/>
        <v>0</v>
      </c>
      <c r="L155" s="8">
        <v>0</v>
      </c>
      <c r="M155" s="8">
        <v>0</v>
      </c>
      <c r="N155" s="8">
        <v>0</v>
      </c>
      <c r="O155" s="8">
        <f t="shared" si="57"/>
        <v>0</v>
      </c>
      <c r="P155" s="31">
        <v>1.5</v>
      </c>
      <c r="Q155" s="31">
        <v>1.25</v>
      </c>
      <c r="R155" s="66">
        <f>IF(A155='Свод по районам'!$A$17,'Свод по районам'!$G$17,0)</f>
        <v>1.5018371918905604</v>
      </c>
      <c r="S155" s="76">
        <f>ROUND(((D155*$K$7+E155*$K$8+F155*$K$9)+(H155*$AA$7+I155*$AA$8+J155*$AA$9)+(L155*'по детям'!$K$10*0.2+M155*'по детям'!$K$11*0.2+N155*'по детям'!$K$12*0.2))*P155*Q155/1.302/12,1)</f>
        <v>227.2</v>
      </c>
      <c r="T155" s="12">
        <f t="shared" si="58"/>
        <v>107.62105263157893</v>
      </c>
      <c r="U155" s="11">
        <v>194.7</v>
      </c>
      <c r="V155" s="12">
        <f t="shared" si="59"/>
        <v>32.5</v>
      </c>
      <c r="W155" s="12">
        <f t="shared" si="46"/>
        <v>32.5</v>
      </c>
      <c r="X155" s="12">
        <f t="shared" si="47"/>
        <v>0</v>
      </c>
      <c r="Y155" s="20">
        <f t="shared" si="60"/>
        <v>-87.078947368421055</v>
      </c>
      <c r="Z155" s="12">
        <f t="shared" si="61"/>
        <v>0</v>
      </c>
      <c r="AA155" s="12">
        <f t="shared" si="62"/>
        <v>-87.078947368421055</v>
      </c>
      <c r="AB155" s="8">
        <v>3</v>
      </c>
      <c r="AC155" s="20">
        <f t="shared" si="48"/>
        <v>75733.333333333328</v>
      </c>
      <c r="AD155" s="20">
        <f t="shared" si="63"/>
        <v>35873.684210526313</v>
      </c>
      <c r="AE155" s="20">
        <f t="shared" si="49"/>
        <v>64899.999999999993</v>
      </c>
      <c r="AF155" s="21">
        <f t="shared" si="50"/>
        <v>10833.333333333336</v>
      </c>
      <c r="AG155" s="23">
        <f t="shared" si="51"/>
        <v>6.333333333333333</v>
      </c>
      <c r="AH155" s="20">
        <f t="shared" si="52"/>
        <v>35873.684210526313</v>
      </c>
      <c r="AI155" s="20">
        <f t="shared" si="53"/>
        <v>30742.105263157897</v>
      </c>
      <c r="AJ155" s="20">
        <f t="shared" si="64"/>
        <v>5131.5789473684163</v>
      </c>
      <c r="AK155" s="47">
        <f t="shared" si="54"/>
        <v>2.1111111111111112</v>
      </c>
    </row>
    <row r="156" spans="1:37" x14ac:dyDescent="0.25">
      <c r="A156" s="8" t="s">
        <v>29</v>
      </c>
      <c r="B156" s="8" t="s">
        <v>263</v>
      </c>
      <c r="C156" s="8" t="s">
        <v>179</v>
      </c>
      <c r="D156" s="8">
        <v>2</v>
      </c>
      <c r="E156" s="8">
        <v>3</v>
      </c>
      <c r="G156" s="8">
        <f t="shared" si="55"/>
        <v>5</v>
      </c>
      <c r="K156" s="8">
        <f t="shared" si="56"/>
        <v>0</v>
      </c>
      <c r="L156" s="8">
        <v>0</v>
      </c>
      <c r="M156" s="8">
        <v>0</v>
      </c>
      <c r="N156" s="8">
        <v>0</v>
      </c>
      <c r="O156" s="8">
        <f t="shared" si="57"/>
        <v>0</v>
      </c>
      <c r="P156" s="31">
        <v>1.5</v>
      </c>
      <c r="Q156" s="31">
        <v>1.25</v>
      </c>
      <c r="R156" s="66">
        <f>IF(A156='Свод по районам'!$A$17,'Свод по районам'!$G$17,0)</f>
        <v>1.5018371918905604</v>
      </c>
      <c r="S156" s="76">
        <f>ROUND(((D156*$K$7+E156*$K$8+F156*$K$9)+(H156*$AA$7+I156*$AA$8+J156*$AA$9)+(L156*'по детям'!$K$10*0.2+M156*'по детям'!$K$11*0.2+N156*'по детям'!$K$12*0.2))*P156*Q156/1.302/12,1)</f>
        <v>292.60000000000002</v>
      </c>
      <c r="T156" s="12">
        <f t="shared" si="58"/>
        <v>376.2000000000001</v>
      </c>
      <c r="U156" s="11">
        <v>221.55090000000001</v>
      </c>
      <c r="V156" s="12">
        <f t="shared" si="59"/>
        <v>71.04910000000001</v>
      </c>
      <c r="W156" s="12">
        <f t="shared" si="46"/>
        <v>71.04910000000001</v>
      </c>
      <c r="X156" s="12">
        <f t="shared" si="47"/>
        <v>0</v>
      </c>
      <c r="Y156" s="20">
        <f t="shared" si="60"/>
        <v>154.64910000000009</v>
      </c>
      <c r="Z156" s="12">
        <f t="shared" si="61"/>
        <v>154.64910000000009</v>
      </c>
      <c r="AA156" s="12">
        <f t="shared" si="62"/>
        <v>0</v>
      </c>
      <c r="AB156" s="8">
        <v>10.5</v>
      </c>
      <c r="AC156" s="20">
        <f t="shared" si="48"/>
        <v>27866.666666666668</v>
      </c>
      <c r="AD156" s="20">
        <f t="shared" si="63"/>
        <v>35828.571428571435</v>
      </c>
      <c r="AE156" s="20">
        <f t="shared" si="49"/>
        <v>21100.085714285717</v>
      </c>
      <c r="AF156" s="21">
        <f t="shared" si="50"/>
        <v>6766.5809523809512</v>
      </c>
      <c r="AG156" s="23">
        <f t="shared" si="51"/>
        <v>8.1666666666666661</v>
      </c>
      <c r="AH156" s="20">
        <f t="shared" si="52"/>
        <v>35828.571428571435</v>
      </c>
      <c r="AI156" s="20">
        <f t="shared" si="53"/>
        <v>27128.681632653068</v>
      </c>
      <c r="AJ156" s="20">
        <f t="shared" si="64"/>
        <v>8699.8897959183669</v>
      </c>
      <c r="AK156" s="47">
        <f t="shared" si="54"/>
        <v>0.77777777777777768</v>
      </c>
    </row>
    <row r="157" spans="1:37" x14ac:dyDescent="0.25">
      <c r="A157" s="8" t="s">
        <v>30</v>
      </c>
      <c r="B157" s="8" t="s">
        <v>263</v>
      </c>
      <c r="C157" s="8" t="s">
        <v>180</v>
      </c>
      <c r="D157" s="8">
        <v>3</v>
      </c>
      <c r="E157" s="8">
        <v>3</v>
      </c>
      <c r="F157" s="8">
        <v>1</v>
      </c>
      <c r="G157" s="8">
        <f t="shared" si="55"/>
        <v>7</v>
      </c>
      <c r="H157" s="8">
        <v>0</v>
      </c>
      <c r="I157" s="8">
        <v>1</v>
      </c>
      <c r="K157" s="8">
        <f t="shared" si="56"/>
        <v>1</v>
      </c>
      <c r="L157" s="8">
        <v>2</v>
      </c>
      <c r="M157" s="8">
        <v>8</v>
      </c>
      <c r="N157" s="8">
        <v>0</v>
      </c>
      <c r="O157" s="8">
        <f t="shared" si="57"/>
        <v>10</v>
      </c>
      <c r="P157" s="10">
        <v>2.2000000000000002</v>
      </c>
      <c r="Q157" s="31">
        <v>1.25</v>
      </c>
      <c r="R157" s="66">
        <f>IF(A157='Свод по районам'!$A$18,'Свод по районам'!$G$18,0)</f>
        <v>1.5715497256850639</v>
      </c>
      <c r="S157" s="76">
        <f>ROUND(((D157*$K$7+E157*$K$8+F157*$K$9)+(H157*$AA$7+I157*$AA$8+J157*$AA$9)+(L157*'по детям'!$K$10*0.2+M157*'по детям'!$K$11*0.2+N157*'по детям'!$K$12*0.2))*P157*Q157/1.302/12,1)</f>
        <v>636.6</v>
      </c>
      <c r="T157" s="12">
        <f t="shared" si="58"/>
        <v>578.19633027522934</v>
      </c>
      <c r="U157" s="11">
        <v>515.00759000000005</v>
      </c>
      <c r="V157" s="12">
        <f t="shared" si="59"/>
        <v>121.59240999999997</v>
      </c>
      <c r="W157" s="12">
        <f t="shared" si="46"/>
        <v>121.59240999999997</v>
      </c>
      <c r="X157" s="12">
        <f t="shared" si="47"/>
        <v>0</v>
      </c>
      <c r="Y157" s="20">
        <f t="shared" si="60"/>
        <v>63.188740275229293</v>
      </c>
      <c r="Z157" s="12">
        <f t="shared" si="61"/>
        <v>63.188740275229293</v>
      </c>
      <c r="AA157" s="12">
        <f t="shared" si="62"/>
        <v>0</v>
      </c>
      <c r="AB157" s="8">
        <v>11</v>
      </c>
      <c r="AC157" s="20">
        <f t="shared" si="48"/>
        <v>57872.727272727272</v>
      </c>
      <c r="AD157" s="20">
        <f t="shared" si="63"/>
        <v>52563.302752293574</v>
      </c>
      <c r="AE157" s="20">
        <f t="shared" si="49"/>
        <v>46818.871818181826</v>
      </c>
      <c r="AF157" s="21">
        <f t="shared" si="50"/>
        <v>11053.855454545446</v>
      </c>
      <c r="AG157" s="23">
        <f t="shared" si="51"/>
        <v>12.111111111111111</v>
      </c>
      <c r="AH157" s="20">
        <f t="shared" si="52"/>
        <v>52563.302752293581</v>
      </c>
      <c r="AI157" s="20">
        <f t="shared" si="53"/>
        <v>42523.562477064224</v>
      </c>
      <c r="AJ157" s="20">
        <f t="shared" si="64"/>
        <v>10039.740275229356</v>
      </c>
      <c r="AK157" s="47">
        <f t="shared" si="54"/>
        <v>1.101010101010101</v>
      </c>
    </row>
    <row r="158" spans="1:37" x14ac:dyDescent="0.25">
      <c r="A158" s="8" t="s">
        <v>30</v>
      </c>
      <c r="B158" s="8" t="s">
        <v>263</v>
      </c>
      <c r="C158" s="8" t="s">
        <v>181</v>
      </c>
      <c r="D158" s="8">
        <v>3</v>
      </c>
      <c r="E158" s="8">
        <v>3</v>
      </c>
      <c r="F158" s="8">
        <v>1</v>
      </c>
      <c r="G158" s="8">
        <f t="shared" si="55"/>
        <v>7</v>
      </c>
      <c r="H158" s="8">
        <v>0</v>
      </c>
      <c r="I158" s="8">
        <v>1</v>
      </c>
      <c r="K158" s="8">
        <f t="shared" si="56"/>
        <v>1</v>
      </c>
      <c r="L158" s="8">
        <v>1</v>
      </c>
      <c r="M158" s="8">
        <v>0</v>
      </c>
      <c r="N158" s="8">
        <v>0</v>
      </c>
      <c r="O158" s="8">
        <f t="shared" si="57"/>
        <v>1</v>
      </c>
      <c r="P158" s="10">
        <v>2.2000000000000002</v>
      </c>
      <c r="Q158" s="31">
        <v>1.25</v>
      </c>
      <c r="R158" s="66">
        <f>IF(A158='Свод по районам'!$A$18,'Свод по районам'!$G$18,0)</f>
        <v>1.5715497256850639</v>
      </c>
      <c r="S158" s="76">
        <f>ROUND(((D158*$K$7+E158*$K$8+F158*$K$9)+(H158*$AA$7+I158*$AA$8+J158*$AA$9)+(L158*'по детям'!$K$10*0.2+M158*'по детям'!$K$11*0.2+N158*'по детям'!$K$12*0.2))*P158*Q158/1.302/12,1)</f>
        <v>628.29999999999995</v>
      </c>
      <c r="T158" s="12">
        <f t="shared" si="58"/>
        <v>508.40422018348625</v>
      </c>
      <c r="U158" s="11">
        <v>437.90143999999998</v>
      </c>
      <c r="V158" s="12">
        <f t="shared" si="59"/>
        <v>190.39855999999997</v>
      </c>
      <c r="W158" s="12">
        <f t="shared" si="46"/>
        <v>190.39855999999997</v>
      </c>
      <c r="X158" s="12">
        <f t="shared" si="47"/>
        <v>0</v>
      </c>
      <c r="Y158" s="20">
        <f t="shared" si="60"/>
        <v>70.502780183486266</v>
      </c>
      <c r="Z158" s="12">
        <f t="shared" si="61"/>
        <v>70.502780183486266</v>
      </c>
      <c r="AA158" s="12">
        <f t="shared" si="62"/>
        <v>0</v>
      </c>
      <c r="AB158" s="8">
        <v>9.8000000000000007</v>
      </c>
      <c r="AC158" s="20">
        <f t="shared" si="48"/>
        <v>64112.244897959172</v>
      </c>
      <c r="AD158" s="20">
        <f t="shared" si="63"/>
        <v>51877.981651376147</v>
      </c>
      <c r="AE158" s="20">
        <f t="shared" si="49"/>
        <v>44683.820408163258</v>
      </c>
      <c r="AF158" s="21">
        <f t="shared" si="50"/>
        <v>19428.424489795914</v>
      </c>
      <c r="AG158" s="23">
        <f t="shared" si="51"/>
        <v>12.111111111111111</v>
      </c>
      <c r="AH158" s="20">
        <f t="shared" si="52"/>
        <v>51877.981651376147</v>
      </c>
      <c r="AI158" s="20">
        <f t="shared" si="53"/>
        <v>36156.999633027524</v>
      </c>
      <c r="AJ158" s="20">
        <f t="shared" si="64"/>
        <v>15720.982018348623</v>
      </c>
      <c r="AK158" s="47">
        <f t="shared" si="54"/>
        <v>1.2358276643990929</v>
      </c>
    </row>
    <row r="159" spans="1:37" x14ac:dyDescent="0.25">
      <c r="A159" s="8" t="s">
        <v>31</v>
      </c>
      <c r="C159" s="8" t="s">
        <v>182</v>
      </c>
      <c r="D159" s="8">
        <v>4</v>
      </c>
      <c r="E159" s="8">
        <v>5</v>
      </c>
      <c r="F159" s="8">
        <v>1</v>
      </c>
      <c r="G159" s="8">
        <f t="shared" si="55"/>
        <v>10</v>
      </c>
      <c r="I159" s="8">
        <v>1</v>
      </c>
      <c r="K159" s="8">
        <f t="shared" si="56"/>
        <v>1</v>
      </c>
      <c r="L159" s="8">
        <v>1</v>
      </c>
      <c r="M159" s="8">
        <v>0</v>
      </c>
      <c r="N159" s="8">
        <v>0</v>
      </c>
      <c r="O159" s="8">
        <f t="shared" si="57"/>
        <v>1</v>
      </c>
      <c r="P159" s="10">
        <v>1.5</v>
      </c>
      <c r="Q159" s="31">
        <v>1.25</v>
      </c>
      <c r="R159" s="66">
        <f>IF(A159='Свод по районам'!$A$19,'Свод по районам'!$G$19,0)</f>
        <v>1.4181765086020945</v>
      </c>
      <c r="S159" s="76">
        <f>ROUND(((D159*$K$7+E159*$K$8+F159*$K$9)+(H159*$AA$7+I159*$AA$8+J159*$AA$9)+(L159*'по детям'!$K$10*0.2+M159*'по детям'!$K$11*0.2+N159*'по детям'!$K$12*0.2))*P159*Q159/1.302/12,1)</f>
        <v>607.4</v>
      </c>
      <c r="T159" s="12">
        <f t="shared" si="58"/>
        <v>319.47662337662337</v>
      </c>
      <c r="U159" s="11">
        <v>342.69970000000001</v>
      </c>
      <c r="V159" s="12">
        <f t="shared" si="59"/>
        <v>264.70029999999997</v>
      </c>
      <c r="W159" s="12">
        <f t="shared" si="46"/>
        <v>264.70029999999997</v>
      </c>
      <c r="X159" s="12">
        <f t="shared" si="47"/>
        <v>0</v>
      </c>
      <c r="Y159" s="20">
        <f t="shared" si="60"/>
        <v>-23.223076623376642</v>
      </c>
      <c r="Z159" s="12">
        <f t="shared" si="61"/>
        <v>0</v>
      </c>
      <c r="AA159" s="12">
        <f t="shared" si="62"/>
        <v>-23.223076623376642</v>
      </c>
      <c r="AB159" s="8">
        <v>9</v>
      </c>
      <c r="AC159" s="20">
        <f t="shared" si="48"/>
        <v>67488.888888888876</v>
      </c>
      <c r="AD159" s="20">
        <f t="shared" si="63"/>
        <v>35497.402597402601</v>
      </c>
      <c r="AE159" s="20">
        <f t="shared" si="49"/>
        <v>38077.744444444448</v>
      </c>
      <c r="AF159" s="21">
        <f t="shared" si="50"/>
        <v>29411.144444444428</v>
      </c>
      <c r="AG159" s="23">
        <f t="shared" si="51"/>
        <v>17.111111111111111</v>
      </c>
      <c r="AH159" s="20">
        <f t="shared" si="52"/>
        <v>35497.402597402601</v>
      </c>
      <c r="AI159" s="20">
        <f t="shared" si="53"/>
        <v>20027.904545454548</v>
      </c>
      <c r="AJ159" s="20">
        <f t="shared" si="64"/>
        <v>15469.498051948052</v>
      </c>
      <c r="AK159" s="47">
        <f t="shared" si="54"/>
        <v>1.9012345679012346</v>
      </c>
    </row>
    <row r="160" spans="1:37" x14ac:dyDescent="0.25">
      <c r="A160" s="8" t="s">
        <v>31</v>
      </c>
      <c r="B160" s="8" t="s">
        <v>263</v>
      </c>
      <c r="C160" s="8" t="s">
        <v>183</v>
      </c>
      <c r="D160" s="8">
        <v>4</v>
      </c>
      <c r="E160" s="8">
        <v>3</v>
      </c>
      <c r="F160" s="8">
        <v>1</v>
      </c>
      <c r="G160" s="8">
        <f t="shared" si="55"/>
        <v>8</v>
      </c>
      <c r="K160" s="8">
        <f t="shared" si="56"/>
        <v>0</v>
      </c>
      <c r="L160" s="8">
        <v>0</v>
      </c>
      <c r="M160" s="8">
        <v>0</v>
      </c>
      <c r="N160" s="8">
        <v>0</v>
      </c>
      <c r="O160" s="8">
        <f t="shared" si="57"/>
        <v>0</v>
      </c>
      <c r="P160" s="31">
        <v>1.5</v>
      </c>
      <c r="Q160" s="31">
        <v>1.25</v>
      </c>
      <c r="R160" s="66">
        <f>IF(A160='Свод по районам'!$A$19,'Свод по районам'!$G$19,0)</f>
        <v>1.4181765086020945</v>
      </c>
      <c r="S160" s="76">
        <f>ROUND(((D160*$K$7+E160*$K$8+F160*$K$9)+(H160*$AA$7+I160*$AA$8+J160*$AA$9)+(L160*'по детям'!$K$10*0.2+M160*'по детям'!$K$11*0.2+N160*'по детям'!$K$12*0.2))*P160*Q160/1.302/12,1)</f>
        <v>460.3</v>
      </c>
      <c r="T160" s="12">
        <f t="shared" si="58"/>
        <v>430.41038961038964</v>
      </c>
      <c r="U160" s="11">
        <v>287.62359999999995</v>
      </c>
      <c r="V160" s="12">
        <f t="shared" si="59"/>
        <v>172.67640000000006</v>
      </c>
      <c r="W160" s="12">
        <f t="shared" si="46"/>
        <v>172.67640000000006</v>
      </c>
      <c r="X160" s="12">
        <f t="shared" si="47"/>
        <v>0</v>
      </c>
      <c r="Y160" s="20">
        <f t="shared" si="60"/>
        <v>142.78678961038969</v>
      </c>
      <c r="Z160" s="12">
        <f t="shared" si="61"/>
        <v>142.78678961038969</v>
      </c>
      <c r="AA160" s="12">
        <f t="shared" si="62"/>
        <v>0</v>
      </c>
      <c r="AB160" s="8">
        <v>12</v>
      </c>
      <c r="AC160" s="20">
        <f t="shared" si="48"/>
        <v>38358.333333333336</v>
      </c>
      <c r="AD160" s="20">
        <f t="shared" si="63"/>
        <v>35867.532467532474</v>
      </c>
      <c r="AE160" s="20">
        <f t="shared" si="49"/>
        <v>23968.633333333328</v>
      </c>
      <c r="AF160" s="21">
        <f t="shared" si="50"/>
        <v>14389.700000000008</v>
      </c>
      <c r="AG160" s="23">
        <f t="shared" si="51"/>
        <v>12.833333333333332</v>
      </c>
      <c r="AH160" s="20">
        <f t="shared" si="52"/>
        <v>35867.532467532474</v>
      </c>
      <c r="AI160" s="20">
        <f t="shared" si="53"/>
        <v>22412.228571428572</v>
      </c>
      <c r="AJ160" s="20">
        <f t="shared" si="64"/>
        <v>13455.303896103902</v>
      </c>
      <c r="AK160" s="47">
        <f t="shared" si="54"/>
        <v>1.0694444444444444</v>
      </c>
    </row>
    <row r="161" spans="1:37" x14ac:dyDescent="0.25">
      <c r="A161" s="8" t="s">
        <v>31</v>
      </c>
      <c r="B161" s="8" t="s">
        <v>263</v>
      </c>
      <c r="C161" s="8" t="s">
        <v>184</v>
      </c>
      <c r="D161" s="8">
        <v>2</v>
      </c>
      <c r="E161" s="8">
        <v>4</v>
      </c>
      <c r="F161" s="8">
        <v>1</v>
      </c>
      <c r="G161" s="8">
        <f t="shared" si="55"/>
        <v>7</v>
      </c>
      <c r="K161" s="8">
        <f t="shared" si="56"/>
        <v>0</v>
      </c>
      <c r="L161" s="8">
        <v>1</v>
      </c>
      <c r="M161" s="8">
        <v>1</v>
      </c>
      <c r="N161" s="8">
        <v>0</v>
      </c>
      <c r="O161" s="8">
        <f t="shared" si="57"/>
        <v>2</v>
      </c>
      <c r="P161" s="31">
        <v>1.5</v>
      </c>
      <c r="Q161" s="31">
        <v>1.25</v>
      </c>
      <c r="R161" s="66">
        <f>IF(A161='Свод по районам'!$A$19,'Свод по районам'!$G$19,0)</f>
        <v>1.4181765086020945</v>
      </c>
      <c r="S161" s="76">
        <f>ROUND(((D161*$K$7+E161*$K$8+F161*$K$9)+(H161*$AA$7+I161*$AA$8+J161*$AA$9)+(L161*'по детям'!$K$10*0.2+M161*'по детям'!$K$11*0.2+N161*'по детям'!$K$12*0.2))*P161*Q161/1.302/12,1)</f>
        <v>430.4</v>
      </c>
      <c r="T161" s="12">
        <f t="shared" si="58"/>
        <v>251.06666666666666</v>
      </c>
      <c r="U161" s="11">
        <v>260.36219999999997</v>
      </c>
      <c r="V161" s="12">
        <f t="shared" si="59"/>
        <v>170.0378</v>
      </c>
      <c r="W161" s="12">
        <f t="shared" si="46"/>
        <v>170.0378</v>
      </c>
      <c r="X161" s="12">
        <f t="shared" si="47"/>
        <v>0</v>
      </c>
      <c r="Y161" s="20">
        <f t="shared" si="60"/>
        <v>-9.2955333333333101</v>
      </c>
      <c r="Z161" s="12">
        <f t="shared" si="61"/>
        <v>0</v>
      </c>
      <c r="AA161" s="12">
        <f t="shared" si="62"/>
        <v>-9.2955333333333101</v>
      </c>
      <c r="AB161" s="8">
        <v>7</v>
      </c>
      <c r="AC161" s="20">
        <f t="shared" si="48"/>
        <v>61485.714285714283</v>
      </c>
      <c r="AD161" s="20">
        <f t="shared" si="63"/>
        <v>35866.666666666664</v>
      </c>
      <c r="AE161" s="20">
        <f t="shared" si="49"/>
        <v>37194.599999999991</v>
      </c>
      <c r="AF161" s="21">
        <f t="shared" si="50"/>
        <v>24291.114285714291</v>
      </c>
      <c r="AG161" s="23">
        <f t="shared" si="51"/>
        <v>12</v>
      </c>
      <c r="AH161" s="20">
        <f t="shared" si="52"/>
        <v>35866.666666666664</v>
      </c>
      <c r="AI161" s="20">
        <f t="shared" si="53"/>
        <v>21696.85</v>
      </c>
      <c r="AJ161" s="20">
        <f t="shared" si="64"/>
        <v>14169.816666666666</v>
      </c>
      <c r="AK161" s="47">
        <f t="shared" si="54"/>
        <v>1.7142857142857142</v>
      </c>
    </row>
    <row r="162" spans="1:37" x14ac:dyDescent="0.25">
      <c r="A162" s="8" t="s">
        <v>31</v>
      </c>
      <c r="C162" s="8" t="s">
        <v>185</v>
      </c>
      <c r="D162" s="8">
        <v>4</v>
      </c>
      <c r="E162" s="8">
        <v>4</v>
      </c>
      <c r="F162" s="8">
        <v>1</v>
      </c>
      <c r="G162" s="8">
        <f t="shared" si="55"/>
        <v>9</v>
      </c>
      <c r="H162" s="8">
        <v>3</v>
      </c>
      <c r="K162" s="8">
        <f t="shared" si="56"/>
        <v>3</v>
      </c>
      <c r="L162" s="8">
        <v>4</v>
      </c>
      <c r="M162" s="8">
        <v>0</v>
      </c>
      <c r="N162" s="8">
        <v>0</v>
      </c>
      <c r="O162" s="8">
        <f t="shared" si="57"/>
        <v>4</v>
      </c>
      <c r="P162" s="31">
        <v>1.5</v>
      </c>
      <c r="Q162" s="31">
        <v>1.25</v>
      </c>
      <c r="R162" s="66">
        <f>IF(A162='Свод по районам'!$A$19,'Свод по районам'!$G$19,0)</f>
        <v>1.4181765086020945</v>
      </c>
      <c r="S162" s="76">
        <f>ROUND(((D162*$K$7+E162*$K$8+F162*$K$9)+(H162*$AA$7+I162*$AA$8+J162*$AA$9)+(L162*'по детям'!$K$10*0.2+M162*'по детям'!$K$11*0.2+N162*'по детям'!$K$12*0.2))*P162*Q162/1.302/12,1)</f>
        <v>562.6</v>
      </c>
      <c r="T162" s="12">
        <f t="shared" si="58"/>
        <v>421.95000000000005</v>
      </c>
      <c r="U162" s="11">
        <v>331.8331</v>
      </c>
      <c r="V162" s="12">
        <f t="shared" si="59"/>
        <v>230.76690000000002</v>
      </c>
      <c r="W162" s="12">
        <f t="shared" si="46"/>
        <v>230.76690000000002</v>
      </c>
      <c r="X162" s="12">
        <f t="shared" si="47"/>
        <v>0</v>
      </c>
      <c r="Y162" s="20">
        <f t="shared" si="60"/>
        <v>90.116900000000044</v>
      </c>
      <c r="Z162" s="12">
        <f t="shared" si="61"/>
        <v>90.116900000000044</v>
      </c>
      <c r="AA162" s="12">
        <f t="shared" si="62"/>
        <v>0</v>
      </c>
      <c r="AB162" s="8">
        <v>12</v>
      </c>
      <c r="AC162" s="20">
        <f t="shared" si="48"/>
        <v>46883.333333333336</v>
      </c>
      <c r="AD162" s="20">
        <f t="shared" si="63"/>
        <v>35162.5</v>
      </c>
      <c r="AE162" s="20">
        <f t="shared" si="49"/>
        <v>27652.758333333335</v>
      </c>
      <c r="AF162" s="21">
        <f t="shared" si="50"/>
        <v>19230.575000000001</v>
      </c>
      <c r="AG162" s="23">
        <f t="shared" si="51"/>
        <v>16</v>
      </c>
      <c r="AH162" s="20">
        <f t="shared" si="52"/>
        <v>35162.5</v>
      </c>
      <c r="AI162" s="20">
        <f t="shared" si="53"/>
        <v>20739.568749999999</v>
      </c>
      <c r="AJ162" s="20">
        <f t="shared" si="64"/>
        <v>14422.931250000001</v>
      </c>
      <c r="AK162" s="47">
        <f t="shared" si="54"/>
        <v>1.3333333333333333</v>
      </c>
    </row>
    <row r="163" spans="1:37" x14ac:dyDescent="0.25">
      <c r="A163" s="8" t="s">
        <v>31</v>
      </c>
      <c r="B163" s="8" t="s">
        <v>263</v>
      </c>
      <c r="C163" s="8" t="s">
        <v>186</v>
      </c>
      <c r="D163" s="8">
        <v>2</v>
      </c>
      <c r="E163" s="8">
        <v>3</v>
      </c>
      <c r="F163" s="8">
        <v>2</v>
      </c>
      <c r="G163" s="8">
        <f t="shared" si="55"/>
        <v>7</v>
      </c>
      <c r="K163" s="8">
        <f t="shared" si="56"/>
        <v>0</v>
      </c>
      <c r="L163" s="8">
        <v>0</v>
      </c>
      <c r="M163" s="8">
        <v>0</v>
      </c>
      <c r="N163" s="8">
        <v>0</v>
      </c>
      <c r="O163" s="8">
        <f t="shared" si="57"/>
        <v>0</v>
      </c>
      <c r="P163" s="31">
        <v>1.5</v>
      </c>
      <c r="Q163" s="31">
        <v>1.25</v>
      </c>
      <c r="R163" s="66">
        <f>IF(A163='Свод по районам'!$A$19,'Свод по районам'!$G$19,0)</f>
        <v>1.4181765086020945</v>
      </c>
      <c r="S163" s="76">
        <f>ROUND(((D163*$K$7+E163*$K$8+F163*$K$9)+(H163*$AA$7+I163*$AA$8+J163*$AA$9)+(L163*'по детям'!$K$10*0.2+M163*'по детям'!$K$11*0.2+N163*'по детям'!$K$12*0.2))*P163*Q163/1.302/12,1)</f>
        <v>435.3</v>
      </c>
      <c r="T163" s="12">
        <f t="shared" si="58"/>
        <v>286.2246575342466</v>
      </c>
      <c r="U163" s="11">
        <v>258.85859999999997</v>
      </c>
      <c r="V163" s="12">
        <f t="shared" si="59"/>
        <v>176.44140000000004</v>
      </c>
      <c r="W163" s="12">
        <f t="shared" si="46"/>
        <v>176.44140000000004</v>
      </c>
      <c r="X163" s="12">
        <f t="shared" si="47"/>
        <v>0</v>
      </c>
      <c r="Y163" s="20">
        <f t="shared" si="60"/>
        <v>27.366057534246636</v>
      </c>
      <c r="Z163" s="12">
        <f t="shared" si="61"/>
        <v>27.366057534246636</v>
      </c>
      <c r="AA163" s="12">
        <f t="shared" si="62"/>
        <v>0</v>
      </c>
      <c r="AB163" s="8">
        <v>8</v>
      </c>
      <c r="AC163" s="20">
        <f t="shared" si="48"/>
        <v>54412.5</v>
      </c>
      <c r="AD163" s="20">
        <f t="shared" si="63"/>
        <v>35778.082191780828</v>
      </c>
      <c r="AE163" s="20">
        <f t="shared" si="49"/>
        <v>32357.324999999997</v>
      </c>
      <c r="AF163" s="21">
        <f t="shared" si="50"/>
        <v>22055.175000000003</v>
      </c>
      <c r="AG163" s="23">
        <f t="shared" si="51"/>
        <v>12.166666666666666</v>
      </c>
      <c r="AH163" s="20">
        <f t="shared" si="52"/>
        <v>35778.082191780828</v>
      </c>
      <c r="AI163" s="20">
        <f t="shared" si="53"/>
        <v>21276.049315068492</v>
      </c>
      <c r="AJ163" s="20">
        <f t="shared" si="64"/>
        <v>14502.032876712336</v>
      </c>
      <c r="AK163" s="47">
        <f t="shared" si="54"/>
        <v>1.5208333333333333</v>
      </c>
    </row>
    <row r="164" spans="1:37" x14ac:dyDescent="0.25">
      <c r="A164" s="8" t="s">
        <v>31</v>
      </c>
      <c r="B164" s="8" t="s">
        <v>263</v>
      </c>
      <c r="C164" s="8" t="s">
        <v>187</v>
      </c>
      <c r="D164" s="8">
        <v>3</v>
      </c>
      <c r="E164" s="8">
        <v>4</v>
      </c>
      <c r="F164" s="8">
        <v>1</v>
      </c>
      <c r="G164" s="8">
        <f t="shared" si="55"/>
        <v>8</v>
      </c>
      <c r="I164" s="8">
        <v>1</v>
      </c>
      <c r="K164" s="8">
        <f t="shared" si="56"/>
        <v>1</v>
      </c>
      <c r="L164" s="8">
        <v>0</v>
      </c>
      <c r="M164" s="8">
        <v>0</v>
      </c>
      <c r="N164" s="8">
        <v>0</v>
      </c>
      <c r="O164" s="8">
        <f t="shared" si="57"/>
        <v>0</v>
      </c>
      <c r="P164" s="31">
        <v>1.5</v>
      </c>
      <c r="Q164" s="31">
        <v>1.25</v>
      </c>
      <c r="R164" s="66">
        <f>IF(A164='Свод по районам'!$A$19,'Свод по районам'!$G$19,0)</f>
        <v>1.4181765086020945</v>
      </c>
      <c r="S164" s="76">
        <f>ROUND(((D164*$K$7+E164*$K$8+F164*$K$9)+(H164*$AA$7+I164*$AA$8+J164*$AA$9)+(L164*'по детям'!$K$10*0.2+M164*'по детям'!$K$11*0.2+N164*'по детям'!$K$12*0.2))*P164*Q164/1.302/12,1)</f>
        <v>493.3</v>
      </c>
      <c r="T164" s="12">
        <f t="shared" si="58"/>
        <v>389.13705179282874</v>
      </c>
      <c r="U164" s="11">
        <v>293.96409999999997</v>
      </c>
      <c r="V164" s="12">
        <f t="shared" si="59"/>
        <v>199.33590000000004</v>
      </c>
      <c r="W164" s="12">
        <f t="shared" si="46"/>
        <v>199.33590000000004</v>
      </c>
      <c r="X164" s="12">
        <f t="shared" si="47"/>
        <v>0</v>
      </c>
      <c r="Y164" s="20">
        <f t="shared" si="60"/>
        <v>95.172951792828769</v>
      </c>
      <c r="Z164" s="12">
        <f t="shared" si="61"/>
        <v>95.172951792828769</v>
      </c>
      <c r="AA164" s="12">
        <f t="shared" si="62"/>
        <v>0</v>
      </c>
      <c r="AB164" s="8">
        <v>11</v>
      </c>
      <c r="AC164" s="20">
        <f t="shared" si="48"/>
        <v>44845.454545454544</v>
      </c>
      <c r="AD164" s="20">
        <f t="shared" si="63"/>
        <v>35376.095617529885</v>
      </c>
      <c r="AE164" s="20">
        <f t="shared" si="49"/>
        <v>26724.00909090909</v>
      </c>
      <c r="AF164" s="21">
        <f t="shared" si="50"/>
        <v>18121.445454545454</v>
      </c>
      <c r="AG164" s="23">
        <f t="shared" si="51"/>
        <v>13.944444444444443</v>
      </c>
      <c r="AH164" s="20">
        <f t="shared" si="52"/>
        <v>35376.095617529885</v>
      </c>
      <c r="AI164" s="20">
        <f t="shared" si="53"/>
        <v>21081.090836653388</v>
      </c>
      <c r="AJ164" s="20">
        <f t="shared" si="64"/>
        <v>14295.004780876498</v>
      </c>
      <c r="AK164" s="47">
        <f t="shared" si="54"/>
        <v>1.2676767676767675</v>
      </c>
    </row>
    <row r="165" spans="1:37" x14ac:dyDescent="0.25">
      <c r="A165" s="8" t="s">
        <v>31</v>
      </c>
      <c r="B165" s="8" t="s">
        <v>263</v>
      </c>
      <c r="C165" s="8" t="s">
        <v>188</v>
      </c>
      <c r="D165" s="8">
        <v>3</v>
      </c>
      <c r="E165" s="8">
        <v>3</v>
      </c>
      <c r="G165" s="8">
        <f t="shared" si="55"/>
        <v>6</v>
      </c>
      <c r="H165" s="8">
        <v>2</v>
      </c>
      <c r="I165" s="8">
        <v>2</v>
      </c>
      <c r="K165" s="8">
        <f t="shared" si="56"/>
        <v>4</v>
      </c>
      <c r="L165" s="8">
        <v>0</v>
      </c>
      <c r="M165" s="8">
        <v>0</v>
      </c>
      <c r="N165" s="8">
        <v>0</v>
      </c>
      <c r="O165" s="8">
        <f t="shared" si="57"/>
        <v>0</v>
      </c>
      <c r="P165" s="31">
        <v>1.5</v>
      </c>
      <c r="Q165" s="31">
        <v>1.25</v>
      </c>
      <c r="R165" s="66">
        <f>IF(A165='Свод по районам'!$A$19,'Свод по районам'!$G$19,0)</f>
        <v>1.4181765086020945</v>
      </c>
      <c r="S165" s="76">
        <f>ROUND(((D165*$K$7+E165*$K$8+F165*$K$9)+(H165*$AA$7+I165*$AA$8+J165*$AA$9)+(L165*'по детям'!$K$10*0.2+M165*'по детям'!$K$11*0.2+N165*'по детям'!$K$12*0.2))*P165*Q165/1.302/12,1)</f>
        <v>395.9</v>
      </c>
      <c r="T165" s="12">
        <f t="shared" si="58"/>
        <v>238.67655502392344</v>
      </c>
      <c r="U165" s="11">
        <v>250.71420000000003</v>
      </c>
      <c r="V165" s="12">
        <f t="shared" si="59"/>
        <v>145.18579999999994</v>
      </c>
      <c r="W165" s="12">
        <f t="shared" si="46"/>
        <v>145.18579999999994</v>
      </c>
      <c r="X165" s="12">
        <f t="shared" si="47"/>
        <v>0</v>
      </c>
      <c r="Y165" s="20">
        <f t="shared" si="60"/>
        <v>-12.037644976076592</v>
      </c>
      <c r="Z165" s="12">
        <f t="shared" si="61"/>
        <v>0</v>
      </c>
      <c r="AA165" s="12">
        <f t="shared" si="62"/>
        <v>-12.037644976076592</v>
      </c>
      <c r="AB165" s="8">
        <v>7</v>
      </c>
      <c r="AC165" s="20">
        <f t="shared" si="48"/>
        <v>56557.142857142855</v>
      </c>
      <c r="AD165" s="20">
        <f t="shared" si="63"/>
        <v>34096.650717703349</v>
      </c>
      <c r="AE165" s="20">
        <f t="shared" si="49"/>
        <v>35816.314285714288</v>
      </c>
      <c r="AF165" s="21">
        <f t="shared" si="50"/>
        <v>20740.828571428567</v>
      </c>
      <c r="AG165" s="23">
        <f t="shared" si="51"/>
        <v>11.611111111111111</v>
      </c>
      <c r="AH165" s="20">
        <f t="shared" si="52"/>
        <v>34096.650717703349</v>
      </c>
      <c r="AI165" s="20">
        <f t="shared" si="53"/>
        <v>21592.610526315792</v>
      </c>
      <c r="AJ165" s="20">
        <f t="shared" si="64"/>
        <v>12504.040191387558</v>
      </c>
      <c r="AK165" s="47">
        <f t="shared" si="54"/>
        <v>1.6587301587301586</v>
      </c>
    </row>
    <row r="166" spans="1:37" x14ac:dyDescent="0.25">
      <c r="A166" s="8" t="s">
        <v>31</v>
      </c>
      <c r="B166" s="8" t="s">
        <v>263</v>
      </c>
      <c r="C166" s="8" t="s">
        <v>189</v>
      </c>
      <c r="D166" s="8">
        <v>2</v>
      </c>
      <c r="E166" s="8">
        <v>5</v>
      </c>
      <c r="F166" s="8">
        <v>1</v>
      </c>
      <c r="G166" s="8">
        <f t="shared" si="55"/>
        <v>8</v>
      </c>
      <c r="H166" s="8">
        <v>3</v>
      </c>
      <c r="K166" s="8">
        <f t="shared" si="56"/>
        <v>3</v>
      </c>
      <c r="L166" s="8">
        <v>0</v>
      </c>
      <c r="M166" s="8">
        <v>1</v>
      </c>
      <c r="N166" s="8">
        <v>1</v>
      </c>
      <c r="O166" s="8">
        <f t="shared" si="57"/>
        <v>2</v>
      </c>
      <c r="P166" s="31">
        <v>1.5</v>
      </c>
      <c r="Q166" s="31">
        <v>1.25</v>
      </c>
      <c r="R166" s="66">
        <f>IF(A166='Свод по районам'!$A$19,'Свод по районам'!$G$19,0)</f>
        <v>1.4181765086020945</v>
      </c>
      <c r="S166" s="76">
        <f>ROUND(((D166*$K$7+E166*$K$8+F166*$K$9)+(H166*$AA$7+I166*$AA$8+J166*$AA$9)+(L166*'по детям'!$K$10*0.2+M166*'по детям'!$K$11*0.2+N166*'по детям'!$K$12*0.2))*P166*Q166/1.302/12,1)</f>
        <v>531.6</v>
      </c>
      <c r="T166" s="12">
        <f t="shared" si="58"/>
        <v>403.08131868131875</v>
      </c>
      <c r="U166" s="11">
        <v>349.3843</v>
      </c>
      <c r="V166" s="12">
        <f t="shared" si="59"/>
        <v>182.21570000000003</v>
      </c>
      <c r="W166" s="12">
        <f t="shared" si="46"/>
        <v>182.21570000000003</v>
      </c>
      <c r="X166" s="12">
        <f t="shared" si="47"/>
        <v>0</v>
      </c>
      <c r="Y166" s="20">
        <f t="shared" si="60"/>
        <v>53.697018681318752</v>
      </c>
      <c r="Z166" s="12">
        <f t="shared" si="61"/>
        <v>53.697018681318752</v>
      </c>
      <c r="AA166" s="12">
        <f t="shared" si="62"/>
        <v>0</v>
      </c>
      <c r="AB166" s="8">
        <v>11.5</v>
      </c>
      <c r="AC166" s="20">
        <f t="shared" si="48"/>
        <v>46226.086956521744</v>
      </c>
      <c r="AD166" s="20">
        <f t="shared" si="63"/>
        <v>35050.549450549457</v>
      </c>
      <c r="AE166" s="20">
        <f t="shared" si="49"/>
        <v>30381.243478260869</v>
      </c>
      <c r="AF166" s="21">
        <f t="shared" si="50"/>
        <v>15844.843478260875</v>
      </c>
      <c r="AG166" s="23">
        <f t="shared" si="51"/>
        <v>15.166666666666666</v>
      </c>
      <c r="AH166" s="20">
        <f t="shared" si="52"/>
        <v>35050.549450549457</v>
      </c>
      <c r="AI166" s="20">
        <f t="shared" si="53"/>
        <v>23036.327472527475</v>
      </c>
      <c r="AJ166" s="20">
        <f t="shared" si="64"/>
        <v>12014.221978021982</v>
      </c>
      <c r="AK166" s="47">
        <f t="shared" si="54"/>
        <v>1.3188405797101448</v>
      </c>
    </row>
    <row r="167" spans="1:37" x14ac:dyDescent="0.25">
      <c r="A167" s="8" t="s">
        <v>31</v>
      </c>
      <c r="B167" s="8" t="s">
        <v>263</v>
      </c>
      <c r="C167" s="8" t="s">
        <v>190</v>
      </c>
      <c r="D167" s="8">
        <v>3</v>
      </c>
      <c r="E167" s="8">
        <v>3</v>
      </c>
      <c r="G167" s="8">
        <f t="shared" si="55"/>
        <v>6</v>
      </c>
      <c r="K167" s="8">
        <f t="shared" si="56"/>
        <v>0</v>
      </c>
      <c r="L167" s="8">
        <v>0</v>
      </c>
      <c r="M167" s="8">
        <v>0</v>
      </c>
      <c r="N167" s="8">
        <v>0</v>
      </c>
      <c r="O167" s="8">
        <f t="shared" si="57"/>
        <v>0</v>
      </c>
      <c r="P167" s="31">
        <v>1.5</v>
      </c>
      <c r="Q167" s="31">
        <v>1.25</v>
      </c>
      <c r="R167" s="66">
        <f>IF(A167='Свод по районам'!$A$19,'Свод по районам'!$G$19,0)</f>
        <v>1.4181765086020945</v>
      </c>
      <c r="S167" s="76">
        <f>ROUND(((D167*$K$7+E167*$K$8+F167*$K$9)+(H167*$AA$7+I167*$AA$8+J167*$AA$9)+(L167*'по детям'!$K$10*0.2+M167*'по детям'!$K$11*0.2+N167*'по детям'!$K$12*0.2))*P167*Q167/1.302/12,1)</f>
        <v>340.7</v>
      </c>
      <c r="T167" s="12">
        <f t="shared" si="58"/>
        <v>286.90526315789475</v>
      </c>
      <c r="U167" s="11">
        <v>235.3476</v>
      </c>
      <c r="V167" s="12">
        <f t="shared" si="59"/>
        <v>105.35239999999999</v>
      </c>
      <c r="W167" s="12">
        <f t="shared" si="46"/>
        <v>105.35239999999999</v>
      </c>
      <c r="X167" s="12">
        <f t="shared" si="47"/>
        <v>0</v>
      </c>
      <c r="Y167" s="20">
        <f t="shared" si="60"/>
        <v>51.557663157894751</v>
      </c>
      <c r="Z167" s="12">
        <f t="shared" si="61"/>
        <v>51.557663157894751</v>
      </c>
      <c r="AA167" s="12">
        <f t="shared" si="62"/>
        <v>0</v>
      </c>
      <c r="AB167" s="8">
        <v>8</v>
      </c>
      <c r="AC167" s="20">
        <f t="shared" si="48"/>
        <v>42587.5</v>
      </c>
      <c r="AD167" s="20">
        <f t="shared" si="63"/>
        <v>35863.157894736847</v>
      </c>
      <c r="AE167" s="20">
        <f t="shared" si="49"/>
        <v>29418.45</v>
      </c>
      <c r="AF167" s="21">
        <f t="shared" si="50"/>
        <v>13169.05</v>
      </c>
      <c r="AG167" s="23">
        <f t="shared" si="51"/>
        <v>9.5</v>
      </c>
      <c r="AH167" s="20">
        <f t="shared" si="52"/>
        <v>35863.157894736847</v>
      </c>
      <c r="AI167" s="20">
        <f t="shared" si="53"/>
        <v>24773.431578947366</v>
      </c>
      <c r="AJ167" s="20">
        <f t="shared" si="64"/>
        <v>11089.726315789481</v>
      </c>
      <c r="AK167" s="47">
        <f t="shared" si="54"/>
        <v>1.1875</v>
      </c>
    </row>
    <row r="168" spans="1:37" x14ac:dyDescent="0.25">
      <c r="A168" s="8" t="s">
        <v>31</v>
      </c>
      <c r="B168" s="8" t="s">
        <v>263</v>
      </c>
      <c r="C168" s="8" t="s">
        <v>191</v>
      </c>
      <c r="D168" s="8">
        <v>3</v>
      </c>
      <c r="E168" s="8">
        <v>4</v>
      </c>
      <c r="F168" s="8">
        <v>0</v>
      </c>
      <c r="G168" s="8">
        <f t="shared" si="55"/>
        <v>7</v>
      </c>
      <c r="K168" s="8">
        <f t="shared" si="56"/>
        <v>0</v>
      </c>
      <c r="L168" s="8">
        <v>0</v>
      </c>
      <c r="M168" s="8">
        <v>0</v>
      </c>
      <c r="N168" s="8">
        <v>0</v>
      </c>
      <c r="O168" s="8">
        <f t="shared" si="57"/>
        <v>0</v>
      </c>
      <c r="P168" s="31">
        <v>1.5</v>
      </c>
      <c r="Q168" s="31">
        <v>1.25</v>
      </c>
      <c r="R168" s="66">
        <f>IF(A168='Свод по районам'!$A$19,'Свод по районам'!$G$19,0)</f>
        <v>1.4181765086020945</v>
      </c>
      <c r="S168" s="76">
        <f>ROUND(((D168*$K$7+E168*$K$8+F168*$K$9)+(H168*$AA$7+I168*$AA$8+J168*$AA$9)+(L168*'по детям'!$K$10*0.2+M168*'по детям'!$K$11*0.2+N168*'по детям'!$K$12*0.2))*P168*Q168/1.302/12,1)</f>
        <v>406.2</v>
      </c>
      <c r="T168" s="12">
        <f t="shared" si="58"/>
        <v>358.41176470588238</v>
      </c>
      <c r="U168" s="11">
        <v>271.43799999999999</v>
      </c>
      <c r="V168" s="12">
        <f t="shared" si="59"/>
        <v>134.762</v>
      </c>
      <c r="W168" s="12">
        <f t="shared" si="46"/>
        <v>134.762</v>
      </c>
      <c r="X168" s="12">
        <f t="shared" si="47"/>
        <v>0</v>
      </c>
      <c r="Y168" s="20">
        <f t="shared" si="60"/>
        <v>86.973764705882388</v>
      </c>
      <c r="Z168" s="12">
        <f t="shared" si="61"/>
        <v>86.973764705882388</v>
      </c>
      <c r="AA168" s="12">
        <f t="shared" si="62"/>
        <v>0</v>
      </c>
      <c r="AB168" s="8">
        <v>10</v>
      </c>
      <c r="AC168" s="20">
        <f t="shared" si="48"/>
        <v>40620</v>
      </c>
      <c r="AD168" s="20">
        <f t="shared" si="63"/>
        <v>35841.176470588238</v>
      </c>
      <c r="AE168" s="20">
        <f t="shared" si="49"/>
        <v>27143.8</v>
      </c>
      <c r="AF168" s="21">
        <f t="shared" si="50"/>
        <v>13476.2</v>
      </c>
      <c r="AG168" s="23">
        <f t="shared" si="51"/>
        <v>11.333333333333332</v>
      </c>
      <c r="AH168" s="20">
        <f t="shared" si="52"/>
        <v>35841.176470588238</v>
      </c>
      <c r="AI168" s="20">
        <f t="shared" si="53"/>
        <v>23950.411764705885</v>
      </c>
      <c r="AJ168" s="20">
        <f t="shared" si="64"/>
        <v>11890.764705882353</v>
      </c>
      <c r="AK168" s="47">
        <f t="shared" si="54"/>
        <v>1.1333333333333333</v>
      </c>
    </row>
    <row r="169" spans="1:37" x14ac:dyDescent="0.25">
      <c r="A169" s="8" t="s">
        <v>32</v>
      </c>
      <c r="B169" s="8" t="s">
        <v>263</v>
      </c>
      <c r="C169" s="8" t="s">
        <v>192</v>
      </c>
      <c r="D169" s="8">
        <v>1</v>
      </c>
      <c r="G169" s="8">
        <f t="shared" si="55"/>
        <v>1</v>
      </c>
      <c r="H169" s="8">
        <v>1</v>
      </c>
      <c r="K169" s="8">
        <f t="shared" si="56"/>
        <v>1</v>
      </c>
      <c r="L169" s="8">
        <v>1</v>
      </c>
      <c r="M169" s="8">
        <v>0</v>
      </c>
      <c r="N169" s="8">
        <v>0</v>
      </c>
      <c r="O169" s="8">
        <f t="shared" si="57"/>
        <v>1</v>
      </c>
      <c r="P169" s="10">
        <v>1.8</v>
      </c>
      <c r="Q169" s="31">
        <v>1.25</v>
      </c>
      <c r="R169" s="66">
        <f>IF(A169='Свод по районам'!$A$20,'Свод по районам'!$G$20,0)</f>
        <v>1.6117283950617285</v>
      </c>
      <c r="S169" s="76">
        <f>ROUND(((D169*$K$7+E169*$K$8+F169*$K$9)+(H169*$AA$7+I169*$AA$8+J169*$AA$9)+(L169*'по детям'!$K$10*0.2+M169*'по детям'!$K$11*0.2+N169*'по детям'!$K$12*0.2))*P169*Q169/1.302/12,1)</f>
        <v>72.400000000000006</v>
      </c>
      <c r="T169" s="12">
        <f t="shared" si="58"/>
        <v>40.725000000000009</v>
      </c>
      <c r="U169" s="11">
        <v>47.2</v>
      </c>
      <c r="V169" s="12">
        <f t="shared" si="59"/>
        <v>25.200000000000003</v>
      </c>
      <c r="W169" s="12">
        <f t="shared" si="46"/>
        <v>25.200000000000003</v>
      </c>
      <c r="X169" s="12">
        <f t="shared" si="47"/>
        <v>0</v>
      </c>
      <c r="Y169" s="20">
        <f t="shared" si="60"/>
        <v>-6.4749999999999943</v>
      </c>
      <c r="Z169" s="12">
        <f t="shared" si="61"/>
        <v>0</v>
      </c>
      <c r="AA169" s="12">
        <f t="shared" si="62"/>
        <v>-6.4749999999999943</v>
      </c>
      <c r="AB169" s="8">
        <v>1</v>
      </c>
      <c r="AC169" s="20">
        <f t="shared" si="48"/>
        <v>72400</v>
      </c>
      <c r="AD169" s="20">
        <f t="shared" si="63"/>
        <v>40725.000000000007</v>
      </c>
      <c r="AE169" s="20">
        <f t="shared" si="49"/>
        <v>47200</v>
      </c>
      <c r="AF169" s="21">
        <f t="shared" si="50"/>
        <v>25200</v>
      </c>
      <c r="AG169" s="23">
        <f t="shared" si="51"/>
        <v>1.7777777777777777</v>
      </c>
      <c r="AH169" s="20">
        <f t="shared" si="52"/>
        <v>40725.000000000007</v>
      </c>
      <c r="AI169" s="20">
        <f t="shared" si="53"/>
        <v>26550.000000000004</v>
      </c>
      <c r="AJ169" s="20">
        <f t="shared" si="64"/>
        <v>14175.000000000004</v>
      </c>
      <c r="AK169" s="47">
        <f t="shared" si="54"/>
        <v>1.7777777777777777</v>
      </c>
    </row>
    <row r="170" spans="1:37" x14ac:dyDescent="0.25">
      <c r="A170" s="8" t="s">
        <v>32</v>
      </c>
      <c r="B170" s="8" t="s">
        <v>263</v>
      </c>
      <c r="C170" s="8" t="s">
        <v>193</v>
      </c>
      <c r="D170" s="8">
        <v>1</v>
      </c>
      <c r="G170" s="8">
        <f t="shared" si="55"/>
        <v>1</v>
      </c>
      <c r="H170" s="8">
        <v>2</v>
      </c>
      <c r="K170" s="8">
        <f t="shared" si="56"/>
        <v>2</v>
      </c>
      <c r="L170" s="8">
        <v>0</v>
      </c>
      <c r="M170" s="8">
        <v>0</v>
      </c>
      <c r="N170" s="8">
        <v>0</v>
      </c>
      <c r="O170" s="8">
        <f t="shared" si="57"/>
        <v>0</v>
      </c>
      <c r="P170" s="31">
        <v>1.8</v>
      </c>
      <c r="Q170" s="31">
        <v>1.25</v>
      </c>
      <c r="R170" s="66">
        <f>IF(A170='Свод по районам'!$A$20,'Свод по районам'!$G$20,0)</f>
        <v>1.6117283950617285</v>
      </c>
      <c r="S170" s="76">
        <f>ROUND(((D170*$K$7+E170*$K$8+F170*$K$9)+(H170*$AA$7+I170*$AA$8+J170*$AA$9)+(L170*'по детям'!$K$10*0.2+M170*'по детям'!$K$11*0.2+N170*'по детям'!$K$12*0.2))*P170*Q170/1.302/12,1)</f>
        <v>86</v>
      </c>
      <c r="T170" s="12">
        <f t="shared" si="58"/>
        <v>38.699999999999996</v>
      </c>
      <c r="U170" s="11">
        <v>51.6</v>
      </c>
      <c r="V170" s="12">
        <f t="shared" si="59"/>
        <v>34.4</v>
      </c>
      <c r="W170" s="12">
        <f t="shared" si="46"/>
        <v>34.4</v>
      </c>
      <c r="X170" s="12">
        <f t="shared" si="47"/>
        <v>0</v>
      </c>
      <c r="Y170" s="20">
        <f t="shared" si="60"/>
        <v>-12.900000000000006</v>
      </c>
      <c r="Z170" s="12">
        <f t="shared" si="61"/>
        <v>0</v>
      </c>
      <c r="AA170" s="12">
        <f t="shared" si="62"/>
        <v>-12.900000000000006</v>
      </c>
      <c r="AB170" s="8">
        <v>1</v>
      </c>
      <c r="AC170" s="20">
        <f t="shared" si="48"/>
        <v>86000</v>
      </c>
      <c r="AD170" s="20">
        <f t="shared" si="63"/>
        <v>38699.999999999993</v>
      </c>
      <c r="AE170" s="20">
        <f t="shared" si="49"/>
        <v>51600</v>
      </c>
      <c r="AF170" s="21">
        <f t="shared" si="50"/>
        <v>34400</v>
      </c>
      <c r="AG170" s="23">
        <f t="shared" si="51"/>
        <v>2.2222222222222223</v>
      </c>
      <c r="AH170" s="20">
        <f t="shared" si="52"/>
        <v>38699.999999999993</v>
      </c>
      <c r="AI170" s="20">
        <f t="shared" si="53"/>
        <v>23220</v>
      </c>
      <c r="AJ170" s="20">
        <f t="shared" si="64"/>
        <v>15479.999999999993</v>
      </c>
      <c r="AK170" s="47">
        <f t="shared" si="54"/>
        <v>2.2222222222222223</v>
      </c>
    </row>
    <row r="171" spans="1:37" x14ac:dyDescent="0.25">
      <c r="A171" s="8" t="s">
        <v>32</v>
      </c>
      <c r="B171" s="8" t="s">
        <v>263</v>
      </c>
      <c r="C171" s="8" t="s">
        <v>194</v>
      </c>
      <c r="D171" s="8">
        <v>1</v>
      </c>
      <c r="G171" s="8">
        <f t="shared" si="55"/>
        <v>1</v>
      </c>
      <c r="K171" s="8">
        <f t="shared" si="56"/>
        <v>0</v>
      </c>
      <c r="L171" s="8">
        <v>0</v>
      </c>
      <c r="M171" s="8">
        <v>0</v>
      </c>
      <c r="N171" s="8">
        <v>0</v>
      </c>
      <c r="O171" s="8">
        <f t="shared" si="57"/>
        <v>0</v>
      </c>
      <c r="P171" s="31">
        <v>1.8</v>
      </c>
      <c r="Q171" s="31">
        <v>1.25</v>
      </c>
      <c r="R171" s="66">
        <f>IF(A171='Свод по районам'!$A$20,'Свод по районам'!$G$20,0)</f>
        <v>1.6117283950617285</v>
      </c>
      <c r="S171" s="76">
        <f>ROUND(((D171*$K$7+E171*$K$8+F171*$K$9)+(H171*$AA$7+I171*$AA$8+J171*$AA$9)+(L171*'по детям'!$K$10*0.2+M171*'по детям'!$K$11*0.2+N171*'по детям'!$K$12*0.2))*P171*Q171/1.302/12,1)</f>
        <v>57.8</v>
      </c>
      <c r="T171" s="12">
        <f t="shared" si="58"/>
        <v>43.35</v>
      </c>
      <c r="U171" s="11">
        <v>40.4</v>
      </c>
      <c r="V171" s="12">
        <f t="shared" si="59"/>
        <v>17.399999999999999</v>
      </c>
      <c r="W171" s="12">
        <f t="shared" si="46"/>
        <v>17.399999999999999</v>
      </c>
      <c r="X171" s="12">
        <f t="shared" si="47"/>
        <v>0</v>
      </c>
      <c r="Y171" s="20">
        <f t="shared" si="60"/>
        <v>2.9500000000000028</v>
      </c>
      <c r="Z171" s="12">
        <f t="shared" si="61"/>
        <v>2.9500000000000028</v>
      </c>
      <c r="AA171" s="12">
        <f t="shared" si="62"/>
        <v>0</v>
      </c>
      <c r="AB171" s="8">
        <v>1</v>
      </c>
      <c r="AC171" s="20">
        <f t="shared" si="48"/>
        <v>57800</v>
      </c>
      <c r="AD171" s="20">
        <f t="shared" si="63"/>
        <v>43350</v>
      </c>
      <c r="AE171" s="20">
        <f t="shared" si="49"/>
        <v>40400</v>
      </c>
      <c r="AF171" s="21">
        <f t="shared" si="50"/>
        <v>17400</v>
      </c>
      <c r="AG171" s="23">
        <f t="shared" si="51"/>
        <v>1.3333333333333333</v>
      </c>
      <c r="AH171" s="20">
        <f t="shared" si="52"/>
        <v>43350</v>
      </c>
      <c r="AI171" s="20">
        <f t="shared" si="53"/>
        <v>30300</v>
      </c>
      <c r="AJ171" s="20">
        <f t="shared" si="64"/>
        <v>13050</v>
      </c>
      <c r="AK171" s="47">
        <f t="shared" si="54"/>
        <v>1.3333333333333333</v>
      </c>
    </row>
    <row r="172" spans="1:37" x14ac:dyDescent="0.25">
      <c r="A172" s="8" t="s">
        <v>32</v>
      </c>
      <c r="B172" s="8" t="s">
        <v>263</v>
      </c>
      <c r="C172" s="8" t="s">
        <v>195</v>
      </c>
      <c r="D172" s="8">
        <v>3</v>
      </c>
      <c r="E172" s="8">
        <v>3</v>
      </c>
      <c r="F172" s="8">
        <v>1</v>
      </c>
      <c r="G172" s="8">
        <f t="shared" si="55"/>
        <v>7</v>
      </c>
      <c r="K172" s="8">
        <f t="shared" si="56"/>
        <v>0</v>
      </c>
      <c r="L172" s="8">
        <v>2</v>
      </c>
      <c r="M172" s="8">
        <v>0</v>
      </c>
      <c r="N172" s="8">
        <v>0</v>
      </c>
      <c r="O172" s="8">
        <f t="shared" si="57"/>
        <v>2</v>
      </c>
      <c r="P172" s="31">
        <v>1.8</v>
      </c>
      <c r="Q172" s="31">
        <v>1.25</v>
      </c>
      <c r="R172" s="66">
        <f>IF(A172='Свод по районам'!$A$20,'Свод по районам'!$G$20,0)</f>
        <v>1.6117283950617285</v>
      </c>
      <c r="S172" s="76">
        <f>ROUND(((D172*$K$7+E172*$K$8+F172*$K$9)+(H172*$AA$7+I172*$AA$8+J172*$AA$9)+(L172*'по детям'!$K$10*0.2+M172*'по детям'!$K$11*0.2+N172*'по детям'!$K$12*0.2))*P172*Q172/1.302/12,1)</f>
        <v>495.6</v>
      </c>
      <c r="T172" s="12">
        <f t="shared" si="58"/>
        <v>258.57391304347829</v>
      </c>
      <c r="U172" s="11">
        <v>332.49999999999994</v>
      </c>
      <c r="V172" s="12">
        <f t="shared" si="59"/>
        <v>163.10000000000008</v>
      </c>
      <c r="W172" s="12">
        <f t="shared" si="46"/>
        <v>163.10000000000008</v>
      </c>
      <c r="X172" s="12">
        <f t="shared" si="47"/>
        <v>0</v>
      </c>
      <c r="Y172" s="20">
        <f t="shared" si="60"/>
        <v>-73.926086956521658</v>
      </c>
      <c r="Z172" s="12">
        <f t="shared" si="61"/>
        <v>0</v>
      </c>
      <c r="AA172" s="12">
        <f t="shared" si="62"/>
        <v>-73.926086956521658</v>
      </c>
      <c r="AB172" s="8">
        <v>6</v>
      </c>
      <c r="AC172" s="20">
        <f t="shared" si="48"/>
        <v>82600.000000000015</v>
      </c>
      <c r="AD172" s="20">
        <f t="shared" si="63"/>
        <v>43095.652173913048</v>
      </c>
      <c r="AE172" s="20">
        <f t="shared" si="49"/>
        <v>55416.666666666657</v>
      </c>
      <c r="AF172" s="21">
        <f t="shared" si="50"/>
        <v>27183.333333333358</v>
      </c>
      <c r="AG172" s="23">
        <f t="shared" si="51"/>
        <v>11.5</v>
      </c>
      <c r="AH172" s="20">
        <f t="shared" si="52"/>
        <v>43095.652173913048</v>
      </c>
      <c r="AI172" s="20">
        <f t="shared" si="53"/>
        <v>28913.043478260865</v>
      </c>
      <c r="AJ172" s="20">
        <f t="shared" si="64"/>
        <v>14182.608695652183</v>
      </c>
      <c r="AK172" s="47">
        <f t="shared" si="54"/>
        <v>1.9166666666666667</v>
      </c>
    </row>
    <row r="173" spans="1:37" x14ac:dyDescent="0.25">
      <c r="A173" s="8" t="s">
        <v>32</v>
      </c>
      <c r="C173" s="8" t="s">
        <v>196</v>
      </c>
      <c r="D173" s="8">
        <v>2</v>
      </c>
      <c r="E173" s="8">
        <v>3</v>
      </c>
      <c r="F173" s="8">
        <v>1</v>
      </c>
      <c r="G173" s="8">
        <f t="shared" si="55"/>
        <v>6</v>
      </c>
      <c r="K173" s="8">
        <f t="shared" si="56"/>
        <v>0</v>
      </c>
      <c r="L173" s="8">
        <v>0</v>
      </c>
      <c r="M173" s="8">
        <v>1</v>
      </c>
      <c r="N173" s="8">
        <v>0</v>
      </c>
      <c r="O173" s="8">
        <f t="shared" si="57"/>
        <v>1</v>
      </c>
      <c r="P173" s="31">
        <v>1.8</v>
      </c>
      <c r="Q173" s="31">
        <v>1.25</v>
      </c>
      <c r="R173" s="66">
        <f>IF(A173='Свод по районам'!$A$20,'Свод по районам'!$G$20,0)</f>
        <v>1.6117283950617285</v>
      </c>
      <c r="S173" s="76">
        <f>ROUND(((D173*$K$7+E173*$K$8+F173*$K$9)+(H173*$AA$7+I173*$AA$8+J173*$AA$9)+(L173*'по детям'!$K$10*0.2+M173*'по детям'!$K$11*0.2+N173*'по детям'!$K$12*0.2))*P173*Q173/1.302/12,1)</f>
        <v>437.5</v>
      </c>
      <c r="T173" s="12">
        <f t="shared" si="58"/>
        <v>387.29508196721315</v>
      </c>
      <c r="U173" s="11">
        <v>395.9</v>
      </c>
      <c r="V173" s="12">
        <f t="shared" si="59"/>
        <v>41.600000000000023</v>
      </c>
      <c r="W173" s="12">
        <f t="shared" si="46"/>
        <v>41.600000000000023</v>
      </c>
      <c r="X173" s="12">
        <f t="shared" si="47"/>
        <v>0</v>
      </c>
      <c r="Y173" s="20">
        <f t="shared" si="60"/>
        <v>-8.6049180327868271</v>
      </c>
      <c r="Z173" s="12">
        <f t="shared" si="61"/>
        <v>0</v>
      </c>
      <c r="AA173" s="12">
        <f t="shared" si="62"/>
        <v>-8.6049180327868271</v>
      </c>
      <c r="AB173" s="8">
        <v>9</v>
      </c>
      <c r="AC173" s="20">
        <f t="shared" si="48"/>
        <v>48611.111111111117</v>
      </c>
      <c r="AD173" s="20">
        <f t="shared" si="63"/>
        <v>43032.786885245907</v>
      </c>
      <c r="AE173" s="20">
        <f t="shared" si="49"/>
        <v>43988.888888888891</v>
      </c>
      <c r="AF173" s="21">
        <f t="shared" si="50"/>
        <v>4622.2222222222263</v>
      </c>
      <c r="AG173" s="23">
        <f t="shared" si="51"/>
        <v>10.166666666666666</v>
      </c>
      <c r="AH173" s="20">
        <f t="shared" si="52"/>
        <v>43032.786885245907</v>
      </c>
      <c r="AI173" s="20">
        <f t="shared" si="53"/>
        <v>38940.983606557376</v>
      </c>
      <c r="AJ173" s="20">
        <f t="shared" si="64"/>
        <v>4091.8032786885306</v>
      </c>
      <c r="AK173" s="47">
        <f t="shared" si="54"/>
        <v>1.1296296296296295</v>
      </c>
    </row>
    <row r="174" spans="1:37" x14ac:dyDescent="0.25">
      <c r="A174" s="8" t="s">
        <v>33</v>
      </c>
      <c r="B174" s="8" t="s">
        <v>263</v>
      </c>
      <c r="C174" s="8" t="s">
        <v>197</v>
      </c>
      <c r="D174" s="8">
        <v>1</v>
      </c>
      <c r="G174" s="8">
        <f t="shared" si="55"/>
        <v>1</v>
      </c>
      <c r="K174" s="8">
        <f t="shared" si="56"/>
        <v>0</v>
      </c>
      <c r="L174" s="8">
        <v>0</v>
      </c>
      <c r="M174" s="8">
        <v>0</v>
      </c>
      <c r="N174" s="8">
        <v>0</v>
      </c>
      <c r="O174" s="8">
        <f t="shared" si="57"/>
        <v>0</v>
      </c>
      <c r="P174" s="10">
        <v>1.5</v>
      </c>
      <c r="Q174" s="31">
        <v>1.25</v>
      </c>
      <c r="R174" s="66">
        <f>IF(A174='Свод по районам'!$A$21,'Свод по районам'!$G$21,0)</f>
        <v>1.519849143706421</v>
      </c>
      <c r="S174" s="76">
        <f>ROUND(((D174*$K$7+E174*$K$8+F174*$K$9)+(H174*$AA$7+I174*$AA$8+J174*$AA$9)+(L174*'по детям'!$K$10*0.2+M174*'по детям'!$K$11*0.2+N174*'по детям'!$K$12*0.2))*P174*Q174/1.302/12,1)</f>
        <v>48.2</v>
      </c>
      <c r="T174" s="12">
        <f t="shared" si="58"/>
        <v>25.305</v>
      </c>
      <c r="U174" s="11">
        <v>47.1</v>
      </c>
      <c r="V174" s="12">
        <f t="shared" si="59"/>
        <v>1.1000000000000014</v>
      </c>
      <c r="W174" s="12">
        <f t="shared" si="46"/>
        <v>1.1000000000000014</v>
      </c>
      <c r="X174" s="12">
        <f t="shared" si="47"/>
        <v>0</v>
      </c>
      <c r="Y174" s="20">
        <f t="shared" si="60"/>
        <v>-21.795000000000002</v>
      </c>
      <c r="Z174" s="12">
        <f t="shared" si="61"/>
        <v>0</v>
      </c>
      <c r="AA174" s="12">
        <f t="shared" si="62"/>
        <v>-21.795000000000002</v>
      </c>
      <c r="AB174" s="8">
        <v>0.7</v>
      </c>
      <c r="AC174" s="20">
        <f t="shared" si="48"/>
        <v>68857.142857142855</v>
      </c>
      <c r="AD174" s="20">
        <f t="shared" si="63"/>
        <v>36150</v>
      </c>
      <c r="AE174" s="20">
        <f t="shared" si="49"/>
        <v>67285.71428571429</v>
      </c>
      <c r="AF174" s="21">
        <f t="shared" si="50"/>
        <v>1571.4285714285652</v>
      </c>
      <c r="AG174" s="23">
        <f t="shared" si="51"/>
        <v>1.3333333333333333</v>
      </c>
      <c r="AH174" s="20">
        <f t="shared" si="52"/>
        <v>36150.000000000007</v>
      </c>
      <c r="AI174" s="20">
        <f t="shared" si="53"/>
        <v>35325</v>
      </c>
      <c r="AJ174" s="20">
        <f t="shared" si="64"/>
        <v>825.00000000000728</v>
      </c>
      <c r="AK174" s="47">
        <f t="shared" si="54"/>
        <v>1.9047619047619049</v>
      </c>
    </row>
    <row r="175" spans="1:37" x14ac:dyDescent="0.25">
      <c r="A175" s="8" t="s">
        <v>33</v>
      </c>
      <c r="C175" s="8" t="s">
        <v>198</v>
      </c>
      <c r="D175" s="8">
        <v>2</v>
      </c>
      <c r="G175" s="8">
        <f t="shared" si="55"/>
        <v>2</v>
      </c>
      <c r="K175" s="8">
        <f t="shared" si="56"/>
        <v>0</v>
      </c>
      <c r="L175" s="8">
        <v>1</v>
      </c>
      <c r="M175" s="8">
        <v>0</v>
      </c>
      <c r="N175" s="8">
        <v>0</v>
      </c>
      <c r="O175" s="8">
        <f t="shared" si="57"/>
        <v>1</v>
      </c>
      <c r="P175" s="31">
        <v>1.5</v>
      </c>
      <c r="Q175" s="31">
        <v>1.25</v>
      </c>
      <c r="R175" s="66">
        <f>IF(A175='Свод по районам'!$A$21,'Свод по районам'!$G$21,0)</f>
        <v>1.519849143706421</v>
      </c>
      <c r="S175" s="76">
        <f>ROUND(((D175*$K$7+E175*$K$8+F175*$K$9)+(H175*$AA$7+I175*$AA$8+J175*$AA$9)+(L175*'по детям'!$K$10*0.2+M175*'по детям'!$K$11*0.2+N175*'по детям'!$K$12*0.2))*P175*Q175/1.302/12,1)</f>
        <v>96.8</v>
      </c>
      <c r="T175" s="12">
        <f t="shared" si="58"/>
        <v>36.300000000000004</v>
      </c>
      <c r="U175" s="11">
        <v>91.7</v>
      </c>
      <c r="V175" s="12">
        <f t="shared" si="59"/>
        <v>5.0999999999999943</v>
      </c>
      <c r="W175" s="12">
        <f t="shared" si="46"/>
        <v>5.0999999999999943</v>
      </c>
      <c r="X175" s="12">
        <f t="shared" si="47"/>
        <v>0</v>
      </c>
      <c r="Y175" s="20">
        <f t="shared" si="60"/>
        <v>-55.4</v>
      </c>
      <c r="Z175" s="12">
        <f t="shared" si="61"/>
        <v>0</v>
      </c>
      <c r="AA175" s="12">
        <f t="shared" si="62"/>
        <v>-55.4</v>
      </c>
      <c r="AB175" s="8">
        <v>1</v>
      </c>
      <c r="AC175" s="20">
        <f t="shared" si="48"/>
        <v>96800</v>
      </c>
      <c r="AD175" s="20">
        <f t="shared" si="63"/>
        <v>36300.000000000007</v>
      </c>
      <c r="AE175" s="20">
        <f t="shared" si="49"/>
        <v>91700</v>
      </c>
      <c r="AF175" s="21">
        <f t="shared" si="50"/>
        <v>5100</v>
      </c>
      <c r="AG175" s="23">
        <f t="shared" si="51"/>
        <v>2.6666666666666665</v>
      </c>
      <c r="AH175" s="20">
        <f t="shared" si="52"/>
        <v>36300.000000000007</v>
      </c>
      <c r="AI175" s="20">
        <f t="shared" si="53"/>
        <v>34387.5</v>
      </c>
      <c r="AJ175" s="20">
        <f t="shared" si="64"/>
        <v>1912.5000000000073</v>
      </c>
      <c r="AK175" s="47">
        <f t="shared" si="54"/>
        <v>2.6666666666666665</v>
      </c>
    </row>
    <row r="176" spans="1:37" x14ac:dyDescent="0.25">
      <c r="A176" s="8" t="s">
        <v>33</v>
      </c>
      <c r="C176" s="8" t="s">
        <v>199</v>
      </c>
      <c r="D176" s="8">
        <v>4</v>
      </c>
      <c r="E176" s="8">
        <v>3</v>
      </c>
      <c r="G176" s="8">
        <f t="shared" si="55"/>
        <v>7</v>
      </c>
      <c r="K176" s="8">
        <f t="shared" si="56"/>
        <v>0</v>
      </c>
      <c r="L176" s="8">
        <v>0</v>
      </c>
      <c r="M176" s="8">
        <v>0</v>
      </c>
      <c r="N176" s="8">
        <v>0</v>
      </c>
      <c r="O176" s="8">
        <f t="shared" si="57"/>
        <v>0</v>
      </c>
      <c r="P176" s="31">
        <v>1.5</v>
      </c>
      <c r="Q176" s="31">
        <v>1.25</v>
      </c>
      <c r="R176" s="66">
        <f>IF(A176='Свод по районам'!$A$21,'Свод по районам'!$G$21,0)</f>
        <v>1.519849143706421</v>
      </c>
      <c r="S176" s="76">
        <f>ROUND(((D176*$K$7+E176*$K$8+F176*$K$9)+(H176*$AA$7+I176*$AA$8+J176*$AA$9)+(L176*'по детям'!$K$10*0.2+M176*'по детям'!$K$11*0.2+N176*'по детям'!$K$12*0.2))*P176*Q176/1.302/12,1)</f>
        <v>388.9</v>
      </c>
      <c r="T176" s="12">
        <f t="shared" si="58"/>
        <v>323.08615384615388</v>
      </c>
      <c r="U176" s="11">
        <v>243.90000000000006</v>
      </c>
      <c r="V176" s="12">
        <f t="shared" si="59"/>
        <v>144.99999999999991</v>
      </c>
      <c r="W176" s="12">
        <f t="shared" si="46"/>
        <v>144.99999999999991</v>
      </c>
      <c r="X176" s="12">
        <f t="shared" si="47"/>
        <v>0</v>
      </c>
      <c r="Y176" s="20">
        <f t="shared" si="60"/>
        <v>79.186153846153815</v>
      </c>
      <c r="Z176" s="12">
        <f t="shared" si="61"/>
        <v>79.186153846153815</v>
      </c>
      <c r="AA176" s="12">
        <f t="shared" si="62"/>
        <v>0</v>
      </c>
      <c r="AB176" s="8">
        <v>9</v>
      </c>
      <c r="AC176" s="20">
        <f t="shared" si="48"/>
        <v>43211.111111111109</v>
      </c>
      <c r="AD176" s="20">
        <f t="shared" si="63"/>
        <v>35898.461538461539</v>
      </c>
      <c r="AE176" s="20">
        <f t="shared" si="49"/>
        <v>27100.000000000007</v>
      </c>
      <c r="AF176" s="21">
        <f t="shared" si="50"/>
        <v>16111.111111111102</v>
      </c>
      <c r="AG176" s="23">
        <f t="shared" si="51"/>
        <v>10.833333333333332</v>
      </c>
      <c r="AH176" s="20">
        <f t="shared" si="52"/>
        <v>35898.461538461539</v>
      </c>
      <c r="AI176" s="20">
        <f t="shared" si="53"/>
        <v>22513.846153846163</v>
      </c>
      <c r="AJ176" s="20">
        <f t="shared" si="64"/>
        <v>13384.615384615376</v>
      </c>
      <c r="AK176" s="47">
        <f t="shared" si="54"/>
        <v>1.2037037037037035</v>
      </c>
    </row>
    <row r="177" spans="1:37" x14ac:dyDescent="0.25">
      <c r="A177" s="8" t="s">
        <v>33</v>
      </c>
      <c r="C177" s="8" t="s">
        <v>200</v>
      </c>
      <c r="D177" s="8">
        <v>4</v>
      </c>
      <c r="E177" s="8">
        <v>4</v>
      </c>
      <c r="G177" s="8">
        <f t="shared" si="55"/>
        <v>8</v>
      </c>
      <c r="K177" s="8">
        <f t="shared" si="56"/>
        <v>0</v>
      </c>
      <c r="L177" s="8">
        <v>3</v>
      </c>
      <c r="M177" s="8">
        <v>1</v>
      </c>
      <c r="N177" s="8">
        <v>0</v>
      </c>
      <c r="O177" s="8">
        <f t="shared" si="57"/>
        <v>4</v>
      </c>
      <c r="P177" s="31">
        <v>1.5</v>
      </c>
      <c r="Q177" s="31">
        <v>1.25</v>
      </c>
      <c r="R177" s="66">
        <f>IF(A177='Свод по районам'!$A$21,'Свод по районам'!$G$21,0)</f>
        <v>1.519849143706421</v>
      </c>
      <c r="S177" s="76">
        <f>ROUND(((D177*$K$7+E177*$K$8+F177*$K$9)+(H177*$AA$7+I177*$AA$8+J177*$AA$9)+(L177*'по детям'!$K$10*0.2+M177*'по детям'!$K$11*0.2+N177*'по детям'!$K$12*0.2))*P177*Q177/1.302/12,1)</f>
        <v>456.3</v>
      </c>
      <c r="T177" s="12">
        <f t="shared" si="58"/>
        <v>396.26052631578955</v>
      </c>
      <c r="U177" s="11">
        <v>249.60000000000002</v>
      </c>
      <c r="V177" s="12">
        <f t="shared" si="59"/>
        <v>206.7</v>
      </c>
      <c r="W177" s="12">
        <f t="shared" si="46"/>
        <v>206.7</v>
      </c>
      <c r="X177" s="12">
        <f t="shared" si="47"/>
        <v>0</v>
      </c>
      <c r="Y177" s="20">
        <f t="shared" si="60"/>
        <v>146.66052631578953</v>
      </c>
      <c r="Z177" s="12">
        <f t="shared" si="61"/>
        <v>146.66052631578953</v>
      </c>
      <c r="AA177" s="12">
        <f t="shared" si="62"/>
        <v>0</v>
      </c>
      <c r="AB177" s="8">
        <v>11</v>
      </c>
      <c r="AC177" s="20">
        <f t="shared" si="48"/>
        <v>41481.818181818184</v>
      </c>
      <c r="AD177" s="20">
        <f t="shared" si="63"/>
        <v>36023.68421052632</v>
      </c>
      <c r="AE177" s="20">
        <f t="shared" si="49"/>
        <v>22690.909090909092</v>
      </c>
      <c r="AF177" s="21">
        <f t="shared" si="50"/>
        <v>18790.909090909092</v>
      </c>
      <c r="AG177" s="23">
        <f t="shared" si="51"/>
        <v>12.666666666666666</v>
      </c>
      <c r="AH177" s="20">
        <f t="shared" si="52"/>
        <v>36023.68421052632</v>
      </c>
      <c r="AI177" s="20">
        <f t="shared" si="53"/>
        <v>19705.26315789474</v>
      </c>
      <c r="AJ177" s="20">
        <f t="shared" si="64"/>
        <v>16318.42105263158</v>
      </c>
      <c r="AK177" s="47">
        <f t="shared" si="54"/>
        <v>1.1515151515151514</v>
      </c>
    </row>
    <row r="178" spans="1:37" x14ac:dyDescent="0.25">
      <c r="A178" s="8" t="s">
        <v>33</v>
      </c>
      <c r="C178" s="8" t="s">
        <v>201</v>
      </c>
      <c r="D178" s="8">
        <v>4</v>
      </c>
      <c r="E178" s="8">
        <v>5</v>
      </c>
      <c r="G178" s="8">
        <f t="shared" si="55"/>
        <v>9</v>
      </c>
      <c r="K178" s="8">
        <f t="shared" si="56"/>
        <v>0</v>
      </c>
      <c r="L178" s="8">
        <v>0</v>
      </c>
      <c r="M178" s="8">
        <v>0</v>
      </c>
      <c r="N178" s="8">
        <v>0</v>
      </c>
      <c r="O178" s="8">
        <f t="shared" si="57"/>
        <v>0</v>
      </c>
      <c r="P178" s="31">
        <v>1.5</v>
      </c>
      <c r="Q178" s="31">
        <v>1.25</v>
      </c>
      <c r="R178" s="66">
        <f>IF(A178='Свод по районам'!$A$21,'Свод по районам'!$G$21,0)</f>
        <v>1.519849143706421</v>
      </c>
      <c r="S178" s="76">
        <f>ROUND(((D178*$K$7+E178*$K$8+F178*$K$9)+(H178*$AA$7+I178*$AA$8+J178*$AA$9)+(L178*'по детям'!$K$10*0.2+M178*'по детям'!$K$11*0.2+N178*'по детям'!$K$12*0.2))*P178*Q178/1.302/12,1)</f>
        <v>519.70000000000005</v>
      </c>
      <c r="T178" s="12">
        <f t="shared" si="58"/>
        <v>358.41379310344831</v>
      </c>
      <c r="U178" s="11">
        <v>256.80000000000007</v>
      </c>
      <c r="V178" s="12">
        <f t="shared" si="59"/>
        <v>262.89999999999998</v>
      </c>
      <c r="W178" s="12">
        <f t="shared" si="46"/>
        <v>262.89999999999998</v>
      </c>
      <c r="X178" s="12">
        <f t="shared" si="47"/>
        <v>0</v>
      </c>
      <c r="Y178" s="20">
        <f t="shared" si="60"/>
        <v>101.61379310344824</v>
      </c>
      <c r="Z178" s="12">
        <f t="shared" si="61"/>
        <v>101.61379310344824</v>
      </c>
      <c r="AA178" s="12">
        <f t="shared" si="62"/>
        <v>0</v>
      </c>
      <c r="AB178" s="8">
        <v>10</v>
      </c>
      <c r="AC178" s="20">
        <f t="shared" si="48"/>
        <v>51970.000000000007</v>
      </c>
      <c r="AD178" s="20">
        <f t="shared" si="63"/>
        <v>35841.379310344833</v>
      </c>
      <c r="AE178" s="20">
        <f t="shared" si="49"/>
        <v>25680.000000000007</v>
      </c>
      <c r="AF178" s="21">
        <f t="shared" si="50"/>
        <v>26290</v>
      </c>
      <c r="AG178" s="23">
        <f t="shared" si="51"/>
        <v>14.5</v>
      </c>
      <c r="AH178" s="20">
        <f t="shared" si="52"/>
        <v>35841.379310344833</v>
      </c>
      <c r="AI178" s="20">
        <f t="shared" si="53"/>
        <v>17710.344827586214</v>
      </c>
      <c r="AJ178" s="20">
        <f t="shared" si="64"/>
        <v>18131.03448275862</v>
      </c>
      <c r="AK178" s="47">
        <f t="shared" si="54"/>
        <v>1.45</v>
      </c>
    </row>
    <row r="179" spans="1:37" x14ac:dyDescent="0.25">
      <c r="A179" s="8" t="s">
        <v>33</v>
      </c>
      <c r="C179" s="8" t="s">
        <v>202</v>
      </c>
      <c r="D179" s="8">
        <v>4</v>
      </c>
      <c r="E179" s="8">
        <v>5</v>
      </c>
      <c r="F179" s="8">
        <v>1</v>
      </c>
      <c r="G179" s="8">
        <f t="shared" si="55"/>
        <v>10</v>
      </c>
      <c r="H179" s="8">
        <v>1</v>
      </c>
      <c r="K179" s="8">
        <f t="shared" si="56"/>
        <v>1</v>
      </c>
      <c r="L179" s="8">
        <v>3</v>
      </c>
      <c r="M179" s="8">
        <v>0</v>
      </c>
      <c r="N179" s="8">
        <v>0</v>
      </c>
      <c r="O179" s="8">
        <f t="shared" si="57"/>
        <v>3</v>
      </c>
      <c r="P179" s="31">
        <v>1.5</v>
      </c>
      <c r="Q179" s="31">
        <v>1.25</v>
      </c>
      <c r="R179" s="66">
        <f>IF(A179='Свод по районам'!$A$21,'Свод по районам'!$G$21,0)</f>
        <v>1.519849143706421</v>
      </c>
      <c r="S179" s="76">
        <f>ROUND(((D179*$K$7+E179*$K$8+F179*$K$9)+(H179*$AA$7+I179*$AA$8+J179*$AA$9)+(L179*'по детям'!$K$10*0.2+M179*'по детям'!$K$11*0.2+N179*'по детям'!$K$12*0.2))*P179*Q179/1.302/12,1)</f>
        <v>604.1</v>
      </c>
      <c r="T179" s="12">
        <f t="shared" si="58"/>
        <v>427.82163934426234</v>
      </c>
      <c r="U179" s="11">
        <v>359.5</v>
      </c>
      <c r="V179" s="12">
        <f t="shared" si="59"/>
        <v>244.60000000000002</v>
      </c>
      <c r="W179" s="12">
        <f t="shared" si="46"/>
        <v>244.60000000000002</v>
      </c>
      <c r="X179" s="12">
        <f t="shared" si="47"/>
        <v>0</v>
      </c>
      <c r="Y179" s="20">
        <f t="shared" si="60"/>
        <v>68.321639344262337</v>
      </c>
      <c r="Z179" s="12">
        <f t="shared" si="61"/>
        <v>68.321639344262337</v>
      </c>
      <c r="AA179" s="12">
        <f t="shared" si="62"/>
        <v>0</v>
      </c>
      <c r="AB179" s="8">
        <v>12</v>
      </c>
      <c r="AC179" s="20">
        <f t="shared" si="48"/>
        <v>50341.666666666672</v>
      </c>
      <c r="AD179" s="20">
        <f t="shared" si="63"/>
        <v>35651.803278688523</v>
      </c>
      <c r="AE179" s="20">
        <f t="shared" si="49"/>
        <v>29958.333333333332</v>
      </c>
      <c r="AF179" s="21">
        <f t="shared" si="50"/>
        <v>20383.333333333339</v>
      </c>
      <c r="AG179" s="23">
        <f t="shared" si="51"/>
        <v>16.944444444444443</v>
      </c>
      <c r="AH179" s="20">
        <f t="shared" si="52"/>
        <v>35651.803278688523</v>
      </c>
      <c r="AI179" s="20">
        <f t="shared" si="53"/>
        <v>21216.393442622953</v>
      </c>
      <c r="AJ179" s="20">
        <f t="shared" si="64"/>
        <v>14435.40983606557</v>
      </c>
      <c r="AK179" s="47">
        <f t="shared" si="54"/>
        <v>1.412037037037037</v>
      </c>
    </row>
    <row r="180" spans="1:37" x14ac:dyDescent="0.25">
      <c r="A180" s="8" t="s">
        <v>33</v>
      </c>
      <c r="C180" s="8" t="s">
        <v>203</v>
      </c>
      <c r="D180" s="8">
        <v>4</v>
      </c>
      <c r="E180" s="8">
        <v>5</v>
      </c>
      <c r="F180" s="8">
        <v>1</v>
      </c>
      <c r="G180" s="8">
        <f t="shared" si="55"/>
        <v>10</v>
      </c>
      <c r="H180" s="8">
        <v>1</v>
      </c>
      <c r="K180" s="8">
        <f t="shared" si="56"/>
        <v>1</v>
      </c>
      <c r="L180" s="8">
        <v>2</v>
      </c>
      <c r="M180" s="8">
        <v>0</v>
      </c>
      <c r="N180" s="8">
        <v>0</v>
      </c>
      <c r="O180" s="8">
        <f t="shared" si="57"/>
        <v>2</v>
      </c>
      <c r="P180" s="31">
        <v>1.5</v>
      </c>
      <c r="Q180" s="31">
        <v>1.25</v>
      </c>
      <c r="R180" s="66">
        <f>IF(A180='Свод по районам'!$A$21,'Свод по районам'!$G$21,0)</f>
        <v>1.519849143706421</v>
      </c>
      <c r="S180" s="76">
        <f>ROUND(((D180*$K$7+E180*$K$8+F180*$K$9)+(H180*$AA$7+I180*$AA$8+J180*$AA$9)+(L180*'по детям'!$K$10*0.2+M180*'по детям'!$K$11*0.2+N180*'по детям'!$K$12*0.2))*P180*Q180/1.302/12,1)</f>
        <v>603.70000000000005</v>
      </c>
      <c r="T180" s="12">
        <f t="shared" si="58"/>
        <v>427.53836065573773</v>
      </c>
      <c r="U180" s="11">
        <v>343.59999999999997</v>
      </c>
      <c r="V180" s="12">
        <f t="shared" si="59"/>
        <v>260.10000000000008</v>
      </c>
      <c r="W180" s="12">
        <f t="shared" si="46"/>
        <v>260.10000000000008</v>
      </c>
      <c r="X180" s="12">
        <f t="shared" si="47"/>
        <v>0</v>
      </c>
      <c r="Y180" s="20">
        <f t="shared" si="60"/>
        <v>83.938360655737768</v>
      </c>
      <c r="Z180" s="12">
        <f t="shared" si="61"/>
        <v>83.938360655737768</v>
      </c>
      <c r="AA180" s="12">
        <f t="shared" si="62"/>
        <v>0</v>
      </c>
      <c r="AB180" s="8">
        <v>12</v>
      </c>
      <c r="AC180" s="20">
        <f t="shared" si="48"/>
        <v>50308.333333333336</v>
      </c>
      <c r="AD180" s="20">
        <f t="shared" si="63"/>
        <v>35628.196721311477</v>
      </c>
      <c r="AE180" s="20">
        <f t="shared" si="49"/>
        <v>28633.333333333328</v>
      </c>
      <c r="AF180" s="21">
        <f t="shared" si="50"/>
        <v>21675.000000000007</v>
      </c>
      <c r="AG180" s="23">
        <f t="shared" si="51"/>
        <v>16.944444444444443</v>
      </c>
      <c r="AH180" s="20">
        <f t="shared" si="52"/>
        <v>35628.196721311484</v>
      </c>
      <c r="AI180" s="20">
        <f t="shared" si="53"/>
        <v>20278.032786885244</v>
      </c>
      <c r="AJ180" s="20">
        <f t="shared" si="64"/>
        <v>15350.16393442624</v>
      </c>
      <c r="AK180" s="47">
        <f t="shared" si="54"/>
        <v>1.412037037037037</v>
      </c>
    </row>
    <row r="181" spans="1:37" x14ac:dyDescent="0.25">
      <c r="A181" s="8" t="s">
        <v>34</v>
      </c>
      <c r="B181" s="8" t="s">
        <v>263</v>
      </c>
      <c r="C181" s="8" t="s">
        <v>204</v>
      </c>
      <c r="D181" s="8">
        <v>3</v>
      </c>
      <c r="E181" s="8">
        <v>3</v>
      </c>
      <c r="F181" s="8">
        <v>1</v>
      </c>
      <c r="G181" s="8">
        <f t="shared" si="55"/>
        <v>7</v>
      </c>
      <c r="K181" s="8">
        <f t="shared" si="56"/>
        <v>0</v>
      </c>
      <c r="L181" s="8">
        <v>1</v>
      </c>
      <c r="M181" s="8">
        <v>0</v>
      </c>
      <c r="N181" s="8">
        <v>0</v>
      </c>
      <c r="O181" s="8">
        <f t="shared" si="57"/>
        <v>1</v>
      </c>
      <c r="P181" s="10">
        <v>2.2000000000000002</v>
      </c>
      <c r="Q181" s="31">
        <v>1.25</v>
      </c>
      <c r="R181" s="66">
        <f>IF(A181='Свод по районам'!$A$22,'Свод по районам'!$G$22,0)</f>
        <v>1.634801953748239</v>
      </c>
      <c r="S181" s="76">
        <f>ROUND(((D181*$K$7+E181*$K$8+F181*$K$9)+(H181*$AA$7+I181*$AA$8+J181*$AA$9)+(L181*'по детям'!$K$10*0.2+M181*'по детям'!$K$11*0.2+N181*'по детям'!$K$12*0.2))*P181*Q181/1.302/12,1)</f>
        <v>605</v>
      </c>
      <c r="T181" s="12">
        <f t="shared" si="58"/>
        <v>331.43478260869568</v>
      </c>
      <c r="U181" s="11">
        <v>398.15328999999997</v>
      </c>
      <c r="V181" s="12">
        <f t="shared" si="59"/>
        <v>206.84671000000003</v>
      </c>
      <c r="W181" s="12">
        <f t="shared" si="46"/>
        <v>206.84671000000003</v>
      </c>
      <c r="X181" s="12">
        <f t="shared" si="47"/>
        <v>0</v>
      </c>
      <c r="Y181" s="20">
        <f t="shared" si="60"/>
        <v>-66.718507391304286</v>
      </c>
      <c r="Z181" s="12">
        <f t="shared" si="61"/>
        <v>0</v>
      </c>
      <c r="AA181" s="12">
        <f t="shared" si="62"/>
        <v>-66.718507391304286</v>
      </c>
      <c r="AB181" s="8">
        <v>6.3</v>
      </c>
      <c r="AC181" s="20">
        <f t="shared" si="48"/>
        <v>96031.746031746035</v>
      </c>
      <c r="AD181" s="20">
        <f t="shared" si="63"/>
        <v>52608.695652173919</v>
      </c>
      <c r="AE181" s="20">
        <f t="shared" si="49"/>
        <v>63198.934920634922</v>
      </c>
      <c r="AF181" s="21">
        <f t="shared" si="50"/>
        <v>32832.811111111114</v>
      </c>
      <c r="AG181" s="23">
        <f t="shared" si="51"/>
        <v>11.5</v>
      </c>
      <c r="AH181" s="20">
        <f t="shared" si="52"/>
        <v>52608.695652173912</v>
      </c>
      <c r="AI181" s="20">
        <f t="shared" si="53"/>
        <v>34622.025217391303</v>
      </c>
      <c r="AJ181" s="20">
        <f t="shared" si="64"/>
        <v>17986.670434782609</v>
      </c>
      <c r="AK181" s="47">
        <f t="shared" si="54"/>
        <v>1.8253968253968254</v>
      </c>
    </row>
    <row r="182" spans="1:37" x14ac:dyDescent="0.25">
      <c r="A182" s="8" t="s">
        <v>34</v>
      </c>
      <c r="B182" s="8" t="s">
        <v>263</v>
      </c>
      <c r="C182" s="8" t="s">
        <v>205</v>
      </c>
      <c r="D182" s="8">
        <v>2</v>
      </c>
      <c r="E182" s="8">
        <v>3</v>
      </c>
      <c r="F182" s="8">
        <v>1</v>
      </c>
      <c r="G182" s="8">
        <f t="shared" si="55"/>
        <v>6</v>
      </c>
      <c r="K182" s="8">
        <f t="shared" si="56"/>
        <v>0</v>
      </c>
      <c r="L182" s="8">
        <v>2</v>
      </c>
      <c r="M182" s="8">
        <v>1</v>
      </c>
      <c r="N182" s="8">
        <v>0</v>
      </c>
      <c r="O182" s="8">
        <f t="shared" si="57"/>
        <v>3</v>
      </c>
      <c r="P182" s="31">
        <v>2.2000000000000002</v>
      </c>
      <c r="Q182" s="31">
        <v>1.25</v>
      </c>
      <c r="R182" s="66">
        <f>IF(A182='Свод по районам'!$A$22,'Свод по районам'!$G$22,0)</f>
        <v>1.634801953748239</v>
      </c>
      <c r="S182" s="76">
        <f>ROUND(((D182*$K$7+E182*$K$8+F182*$K$9)+(H182*$AA$7+I182*$AA$8+J182*$AA$9)+(L182*'по детям'!$K$10*0.2+M182*'по детям'!$K$11*0.2+N182*'по детям'!$K$12*0.2))*P182*Q182/1.302/12,1)</f>
        <v>536</v>
      </c>
      <c r="T182" s="12">
        <f t="shared" si="58"/>
        <v>395.40983606557381</v>
      </c>
      <c r="U182" s="11">
        <v>329.01427000000001</v>
      </c>
      <c r="V182" s="12">
        <f t="shared" si="59"/>
        <v>206.98572999999999</v>
      </c>
      <c r="W182" s="12">
        <f t="shared" si="46"/>
        <v>206.98572999999999</v>
      </c>
      <c r="X182" s="12">
        <f t="shared" si="47"/>
        <v>0</v>
      </c>
      <c r="Y182" s="20">
        <f t="shared" si="60"/>
        <v>66.395566065573803</v>
      </c>
      <c r="Z182" s="12">
        <f t="shared" si="61"/>
        <v>66.395566065573803</v>
      </c>
      <c r="AA182" s="12">
        <f t="shared" si="62"/>
        <v>0</v>
      </c>
      <c r="AB182" s="8">
        <v>7.5</v>
      </c>
      <c r="AC182" s="20">
        <f t="shared" si="48"/>
        <v>71466.666666666672</v>
      </c>
      <c r="AD182" s="20">
        <f t="shared" si="63"/>
        <v>52721.311475409842</v>
      </c>
      <c r="AE182" s="20">
        <f t="shared" si="49"/>
        <v>43868.569333333333</v>
      </c>
      <c r="AF182" s="21">
        <f t="shared" si="50"/>
        <v>27598.097333333339</v>
      </c>
      <c r="AG182" s="23">
        <f t="shared" si="51"/>
        <v>10.166666666666666</v>
      </c>
      <c r="AH182" s="20">
        <f t="shared" si="52"/>
        <v>52721.311475409842</v>
      </c>
      <c r="AI182" s="20">
        <f t="shared" si="53"/>
        <v>32362.059344262299</v>
      </c>
      <c r="AJ182" s="20">
        <f t="shared" si="64"/>
        <v>20359.252131147543</v>
      </c>
      <c r="AK182" s="47">
        <f t="shared" si="54"/>
        <v>1.3555555555555554</v>
      </c>
    </row>
    <row r="183" spans="1:37" x14ac:dyDescent="0.25">
      <c r="A183" s="8" t="s">
        <v>34</v>
      </c>
      <c r="B183" s="8" t="s">
        <v>263</v>
      </c>
      <c r="C183" s="8" t="s">
        <v>206</v>
      </c>
      <c r="D183" s="8">
        <v>2</v>
      </c>
      <c r="E183" s="8">
        <v>3</v>
      </c>
      <c r="F183" s="8">
        <v>1</v>
      </c>
      <c r="G183" s="8">
        <f t="shared" si="55"/>
        <v>6</v>
      </c>
      <c r="I183" s="8">
        <v>1</v>
      </c>
      <c r="K183" s="8">
        <f t="shared" si="56"/>
        <v>1</v>
      </c>
      <c r="L183" s="8">
        <v>0</v>
      </c>
      <c r="M183" s="8">
        <v>0</v>
      </c>
      <c r="N183" s="8">
        <v>0</v>
      </c>
      <c r="O183" s="8">
        <f t="shared" si="57"/>
        <v>0</v>
      </c>
      <c r="P183" s="31">
        <v>2.2000000000000002</v>
      </c>
      <c r="Q183" s="31">
        <v>1.25</v>
      </c>
      <c r="R183" s="66">
        <f>IF(A183='Свод по районам'!$A$22,'Свод по районам'!$G$22,0)</f>
        <v>1.634801953748239</v>
      </c>
      <c r="S183" s="76">
        <f>ROUND(((D183*$K$7+E183*$K$8+F183*$K$9)+(H183*$AA$7+I183*$AA$8+J183*$AA$9)+(L183*'по детям'!$K$10*0.2+M183*'по детям'!$K$11*0.2+N183*'по детям'!$K$12*0.2))*P183*Q183/1.302/12,1)</f>
        <v>557</v>
      </c>
      <c r="T183" s="12">
        <f t="shared" si="58"/>
        <v>310.08247422680415</v>
      </c>
      <c r="U183" s="11">
        <v>324.05823999999996</v>
      </c>
      <c r="V183" s="12">
        <f t="shared" si="59"/>
        <v>232.94176000000004</v>
      </c>
      <c r="W183" s="12">
        <f t="shared" si="46"/>
        <v>232.94176000000004</v>
      </c>
      <c r="X183" s="12">
        <f t="shared" si="47"/>
        <v>0</v>
      </c>
      <c r="Y183" s="20">
        <f t="shared" si="60"/>
        <v>-13.975765773195803</v>
      </c>
      <c r="Z183" s="12">
        <f t="shared" si="61"/>
        <v>0</v>
      </c>
      <c r="AA183" s="12">
        <f t="shared" si="62"/>
        <v>-13.975765773195803</v>
      </c>
      <c r="AB183" s="8">
        <v>6</v>
      </c>
      <c r="AC183" s="20">
        <f t="shared" si="48"/>
        <v>92833.333333333328</v>
      </c>
      <c r="AD183" s="20">
        <f t="shared" si="63"/>
        <v>51680.412371134022</v>
      </c>
      <c r="AE183" s="20">
        <f t="shared" si="49"/>
        <v>54009.706666666658</v>
      </c>
      <c r="AF183" s="21">
        <f t="shared" si="50"/>
        <v>38823.626666666671</v>
      </c>
      <c r="AG183" s="23">
        <f t="shared" si="51"/>
        <v>10.777777777777777</v>
      </c>
      <c r="AH183" s="20">
        <f t="shared" si="52"/>
        <v>51680.412371134022</v>
      </c>
      <c r="AI183" s="20">
        <f t="shared" si="53"/>
        <v>30067.259381443295</v>
      </c>
      <c r="AJ183" s="20">
        <f t="shared" si="64"/>
        <v>21613.152989690727</v>
      </c>
      <c r="AK183" s="47">
        <f t="shared" si="54"/>
        <v>1.7962962962962961</v>
      </c>
    </row>
    <row r="184" spans="1:37" x14ac:dyDescent="0.25">
      <c r="A184" s="8" t="s">
        <v>34</v>
      </c>
      <c r="B184" s="8" t="s">
        <v>263</v>
      </c>
      <c r="C184" s="8" t="s">
        <v>207</v>
      </c>
      <c r="D184" s="8">
        <v>1</v>
      </c>
      <c r="E184" s="8">
        <v>3</v>
      </c>
      <c r="G184" s="8">
        <f t="shared" si="55"/>
        <v>4</v>
      </c>
      <c r="H184" s="8">
        <v>1</v>
      </c>
      <c r="I184" s="8">
        <v>1</v>
      </c>
      <c r="K184" s="8">
        <f t="shared" si="56"/>
        <v>2</v>
      </c>
      <c r="L184" s="8">
        <v>0</v>
      </c>
      <c r="M184" s="8">
        <v>0</v>
      </c>
      <c r="N184" s="8">
        <v>0</v>
      </c>
      <c r="O184" s="8">
        <f t="shared" si="57"/>
        <v>0</v>
      </c>
      <c r="P184" s="31">
        <v>2.2000000000000002</v>
      </c>
      <c r="Q184" s="31">
        <v>1.25</v>
      </c>
      <c r="R184" s="66">
        <f>IF(A184='Свод по районам'!$A$22,'Свод по районам'!$G$22,0)</f>
        <v>1.634801953748239</v>
      </c>
      <c r="S184" s="76">
        <f>ROUND(((D184*$K$7+E184*$K$8+F184*$K$9)+(H184*$AA$7+I184*$AA$8+J184*$AA$9)+(L184*'по детям'!$K$10*0.2+M184*'по детям'!$K$11*0.2+N184*'по детям'!$K$12*0.2))*P184*Q184/1.302/12,1)</f>
        <v>398.9</v>
      </c>
      <c r="T184" s="12">
        <f t="shared" si="58"/>
        <v>207.31563380281688</v>
      </c>
      <c r="U184" s="11">
        <v>261.31145000000004</v>
      </c>
      <c r="V184" s="12">
        <f t="shared" si="59"/>
        <v>137.58854999999994</v>
      </c>
      <c r="W184" s="12">
        <f t="shared" si="46"/>
        <v>137.58854999999994</v>
      </c>
      <c r="X184" s="12">
        <f t="shared" si="47"/>
        <v>0</v>
      </c>
      <c r="Y184" s="20">
        <f t="shared" si="60"/>
        <v>-53.99581619718316</v>
      </c>
      <c r="Z184" s="12">
        <f t="shared" si="61"/>
        <v>0</v>
      </c>
      <c r="AA184" s="12">
        <f t="shared" si="62"/>
        <v>-53.99581619718316</v>
      </c>
      <c r="AB184" s="8">
        <v>4.0999999999999996</v>
      </c>
      <c r="AC184" s="20">
        <f t="shared" si="48"/>
        <v>97292.682926829279</v>
      </c>
      <c r="AD184" s="20">
        <f t="shared" si="63"/>
        <v>50564.788732394365</v>
      </c>
      <c r="AE184" s="20">
        <f t="shared" si="49"/>
        <v>63734.500000000015</v>
      </c>
      <c r="AF184" s="21">
        <f t="shared" si="50"/>
        <v>33558.182926829264</v>
      </c>
      <c r="AG184" s="23">
        <f t="shared" si="51"/>
        <v>7.8888888888888884</v>
      </c>
      <c r="AH184" s="20">
        <f t="shared" si="52"/>
        <v>50564.788732394372</v>
      </c>
      <c r="AI184" s="20">
        <f t="shared" si="53"/>
        <v>33123.986619718315</v>
      </c>
      <c r="AJ184" s="20">
        <f t="shared" si="64"/>
        <v>17440.802112676058</v>
      </c>
      <c r="AK184" s="47">
        <f t="shared" si="54"/>
        <v>1.924119241192412</v>
      </c>
    </row>
    <row r="185" spans="1:37" x14ac:dyDescent="0.25">
      <c r="A185" s="8" t="s">
        <v>34</v>
      </c>
      <c r="C185" s="8" t="s">
        <v>208</v>
      </c>
      <c r="D185" s="8">
        <v>3</v>
      </c>
      <c r="E185" s="8">
        <v>4</v>
      </c>
      <c r="F185" s="8">
        <v>0</v>
      </c>
      <c r="G185" s="8">
        <f t="shared" si="55"/>
        <v>7</v>
      </c>
      <c r="H185" s="8">
        <v>2</v>
      </c>
      <c r="I185" s="8">
        <v>2</v>
      </c>
      <c r="K185" s="8">
        <f t="shared" si="56"/>
        <v>4</v>
      </c>
      <c r="L185" s="8">
        <v>0</v>
      </c>
      <c r="M185" s="8">
        <v>3</v>
      </c>
      <c r="N185" s="8">
        <v>0</v>
      </c>
      <c r="O185" s="8">
        <f t="shared" si="57"/>
        <v>3</v>
      </c>
      <c r="P185" s="31">
        <v>2.2000000000000002</v>
      </c>
      <c r="Q185" s="31">
        <v>1.25</v>
      </c>
      <c r="R185" s="66">
        <f>IF(A185='Свод по районам'!$A$22,'Свод по районам'!$G$22,0)</f>
        <v>1.634801953748239</v>
      </c>
      <c r="S185" s="76">
        <f>ROUND(((D185*$K$7+E185*$K$8+F185*$K$9)+(H185*$AA$7+I185*$AA$8+J185*$AA$9)+(L185*'по детям'!$K$10*0.2+M185*'по детям'!$K$11*0.2+N185*'по детям'!$K$12*0.2))*P185*Q185/1.302/12,1)</f>
        <v>679.4</v>
      </c>
      <c r="T185" s="12">
        <f t="shared" si="58"/>
        <v>520.49900826446287</v>
      </c>
      <c r="U185" s="11">
        <v>455.50545</v>
      </c>
      <c r="V185" s="12">
        <f t="shared" si="59"/>
        <v>223.89454999999998</v>
      </c>
      <c r="W185" s="12">
        <f t="shared" si="46"/>
        <v>223.89454999999998</v>
      </c>
      <c r="X185" s="12">
        <f t="shared" si="47"/>
        <v>0</v>
      </c>
      <c r="Y185" s="20">
        <f t="shared" si="60"/>
        <v>64.993558264462877</v>
      </c>
      <c r="Z185" s="12">
        <f t="shared" si="61"/>
        <v>64.993558264462877</v>
      </c>
      <c r="AA185" s="12">
        <f t="shared" si="62"/>
        <v>0</v>
      </c>
      <c r="AB185" s="8">
        <v>10.3</v>
      </c>
      <c r="AC185" s="20">
        <f t="shared" si="48"/>
        <v>65961.165048543684</v>
      </c>
      <c r="AD185" s="20">
        <f t="shared" si="63"/>
        <v>50533.884297520664</v>
      </c>
      <c r="AE185" s="20">
        <f t="shared" si="49"/>
        <v>44223.830097087375</v>
      </c>
      <c r="AF185" s="21">
        <f t="shared" si="50"/>
        <v>21737.334951456309</v>
      </c>
      <c r="AG185" s="23">
        <f t="shared" si="51"/>
        <v>13.444444444444443</v>
      </c>
      <c r="AH185" s="20">
        <f t="shared" si="52"/>
        <v>50533.884297520664</v>
      </c>
      <c r="AI185" s="20">
        <f t="shared" si="53"/>
        <v>33880.570661157028</v>
      </c>
      <c r="AJ185" s="20">
        <f t="shared" si="64"/>
        <v>16653.313636363637</v>
      </c>
      <c r="AK185" s="47">
        <f t="shared" si="54"/>
        <v>1.3052858683926643</v>
      </c>
    </row>
    <row r="186" spans="1:37" x14ac:dyDescent="0.25">
      <c r="A186" s="8" t="s">
        <v>34</v>
      </c>
      <c r="B186" s="8" t="s">
        <v>263</v>
      </c>
      <c r="C186" s="8" t="s">
        <v>209</v>
      </c>
      <c r="D186" s="8">
        <v>1</v>
      </c>
      <c r="E186" s="8">
        <v>1</v>
      </c>
      <c r="G186" s="8">
        <f t="shared" si="55"/>
        <v>2</v>
      </c>
      <c r="K186" s="8">
        <f t="shared" si="56"/>
        <v>0</v>
      </c>
      <c r="L186" s="8">
        <v>1</v>
      </c>
      <c r="M186" s="8">
        <v>1</v>
      </c>
      <c r="N186" s="8">
        <v>0</v>
      </c>
      <c r="O186" s="8">
        <f t="shared" si="57"/>
        <v>2</v>
      </c>
      <c r="P186" s="31">
        <v>2.2000000000000002</v>
      </c>
      <c r="Q186" s="31">
        <v>1.25</v>
      </c>
      <c r="R186" s="66">
        <f>IF(A186='Свод по районам'!$A$22,'Свод по районам'!$G$22,0)</f>
        <v>1.634801953748239</v>
      </c>
      <c r="S186" s="76">
        <f>ROUND(((D186*$K$7+E186*$K$8+F186*$K$9)+(H186*$AA$7+I186*$AA$8+J186*$AA$9)+(L186*'по детям'!$K$10*0.2+M186*'по детям'!$K$11*0.2+N186*'по детям'!$K$12*0.2))*P186*Q186/1.302/12,1)</f>
        <v>168.2</v>
      </c>
      <c r="T186" s="12">
        <f t="shared" si="58"/>
        <v>169.97052631578947</v>
      </c>
      <c r="U186" s="11">
        <v>100</v>
      </c>
      <c r="V186" s="12">
        <f t="shared" si="59"/>
        <v>68.199999999999989</v>
      </c>
      <c r="W186" s="12">
        <f t="shared" si="46"/>
        <v>68.199999999999989</v>
      </c>
      <c r="X186" s="12">
        <f t="shared" si="47"/>
        <v>0</v>
      </c>
      <c r="Y186" s="20">
        <f t="shared" si="60"/>
        <v>69.970526315789471</v>
      </c>
      <c r="Z186" s="12">
        <f t="shared" si="61"/>
        <v>69.970526315789471</v>
      </c>
      <c r="AA186" s="12">
        <f t="shared" si="62"/>
        <v>0</v>
      </c>
      <c r="AB186" s="8">
        <v>3.2</v>
      </c>
      <c r="AC186" s="20">
        <f t="shared" si="48"/>
        <v>52562.499999999993</v>
      </c>
      <c r="AD186" s="20">
        <f t="shared" si="63"/>
        <v>53115.789473684206</v>
      </c>
      <c r="AE186" s="20">
        <f t="shared" si="49"/>
        <v>31250</v>
      </c>
      <c r="AF186" s="21">
        <f t="shared" si="50"/>
        <v>21312.499999999993</v>
      </c>
      <c r="AG186" s="23">
        <f t="shared" si="51"/>
        <v>3.1666666666666665</v>
      </c>
      <c r="AH186" s="20">
        <f t="shared" si="52"/>
        <v>53115.789473684206</v>
      </c>
      <c r="AI186" s="20">
        <f t="shared" si="53"/>
        <v>31578.947368421053</v>
      </c>
      <c r="AJ186" s="20">
        <f t="shared" si="64"/>
        <v>21536.842105263153</v>
      </c>
      <c r="AK186" s="47">
        <f t="shared" si="54"/>
        <v>0.98958333333333326</v>
      </c>
    </row>
    <row r="187" spans="1:37" x14ac:dyDescent="0.25">
      <c r="A187" s="8" t="s">
        <v>35</v>
      </c>
      <c r="B187" s="8" t="s">
        <v>263</v>
      </c>
      <c r="C187" s="8" t="s">
        <v>210</v>
      </c>
      <c r="D187" s="8">
        <v>1</v>
      </c>
      <c r="G187" s="8">
        <f t="shared" si="55"/>
        <v>1</v>
      </c>
      <c r="K187" s="8">
        <f t="shared" si="56"/>
        <v>0</v>
      </c>
      <c r="L187" s="8">
        <v>0</v>
      </c>
      <c r="M187" s="8">
        <v>0</v>
      </c>
      <c r="N187" s="8">
        <v>0</v>
      </c>
      <c r="O187" s="8">
        <f t="shared" si="57"/>
        <v>0</v>
      </c>
      <c r="P187" s="10">
        <v>1.5</v>
      </c>
      <c r="Q187" s="31">
        <v>1.25</v>
      </c>
      <c r="R187" s="66">
        <f>IF(A187='Свод по районам'!$A$23,'Свод по районам'!$G$23,0)</f>
        <v>1.5071531257293651</v>
      </c>
      <c r="S187" s="76">
        <f>ROUND(((D187*$K$7+E187*$K$8+F187*$K$9)+(H187*$AA$7+I187*$AA$8+J187*$AA$9)+(L187*'по детям'!$K$10*0.2+M187*'по детям'!$K$11*0.2+N187*'по детям'!$K$12*0.2))*P187*Q187/1.302/12,1)</f>
        <v>48.2</v>
      </c>
      <c r="T187" s="12">
        <f t="shared" si="58"/>
        <v>36.150000000000006</v>
      </c>
      <c r="U187" s="11">
        <v>48.7</v>
      </c>
      <c r="V187" s="12">
        <f t="shared" si="59"/>
        <v>-0.5</v>
      </c>
      <c r="W187" s="12">
        <f t="shared" si="46"/>
        <v>0</v>
      </c>
      <c r="X187" s="12">
        <f t="shared" si="47"/>
        <v>-0.5</v>
      </c>
      <c r="Y187" s="20">
        <f t="shared" si="60"/>
        <v>-12.549999999999997</v>
      </c>
      <c r="Z187" s="12">
        <f t="shared" si="61"/>
        <v>0</v>
      </c>
      <c r="AA187" s="12">
        <f t="shared" si="62"/>
        <v>-12.549999999999997</v>
      </c>
      <c r="AB187" s="8">
        <v>1</v>
      </c>
      <c r="AC187" s="20">
        <f t="shared" si="48"/>
        <v>48200</v>
      </c>
      <c r="AD187" s="20">
        <f t="shared" si="63"/>
        <v>36150.000000000007</v>
      </c>
      <c r="AE187" s="20">
        <f t="shared" si="49"/>
        <v>48700</v>
      </c>
      <c r="AF187" s="21">
        <f t="shared" si="50"/>
        <v>-500</v>
      </c>
      <c r="AG187" s="23">
        <f t="shared" si="51"/>
        <v>1.3333333333333333</v>
      </c>
      <c r="AH187" s="20">
        <f t="shared" si="52"/>
        <v>36150.000000000007</v>
      </c>
      <c r="AI187" s="20">
        <f t="shared" si="53"/>
        <v>36525.000000000007</v>
      </c>
      <c r="AJ187" s="20">
        <f t="shared" si="64"/>
        <v>-375</v>
      </c>
      <c r="AK187" s="47">
        <f t="shared" si="54"/>
        <v>1.3333333333333333</v>
      </c>
    </row>
    <row r="188" spans="1:37" x14ac:dyDescent="0.25">
      <c r="A188" s="8" t="s">
        <v>35</v>
      </c>
      <c r="B188" s="8" t="s">
        <v>263</v>
      </c>
      <c r="C188" s="8" t="s">
        <v>211</v>
      </c>
      <c r="D188" s="8">
        <v>1</v>
      </c>
      <c r="G188" s="8">
        <f t="shared" si="55"/>
        <v>1</v>
      </c>
      <c r="K188" s="8">
        <f t="shared" si="56"/>
        <v>0</v>
      </c>
      <c r="L188" s="8">
        <v>0</v>
      </c>
      <c r="M188" s="8">
        <v>0</v>
      </c>
      <c r="N188" s="8">
        <v>0</v>
      </c>
      <c r="O188" s="8">
        <f t="shared" si="57"/>
        <v>0</v>
      </c>
      <c r="P188" s="31">
        <v>1.5</v>
      </c>
      <c r="Q188" s="31">
        <v>1.25</v>
      </c>
      <c r="R188" s="66">
        <f>IF(A188='Свод по районам'!$A$23,'Свод по районам'!$G$23,0)</f>
        <v>1.5071531257293651</v>
      </c>
      <c r="S188" s="76">
        <f>ROUND(((D188*$K$7+E188*$K$8+F188*$K$9)+(H188*$AA$7+I188*$AA$8+J188*$AA$9)+(L188*'по детям'!$K$10*0.2+M188*'по детям'!$K$11*0.2+N188*'по детям'!$K$12*0.2))*P188*Q188/1.302/12,1)</f>
        <v>48.2</v>
      </c>
      <c r="T188" s="12">
        <f t="shared" si="58"/>
        <v>36.150000000000006</v>
      </c>
      <c r="U188" s="11">
        <v>48.7</v>
      </c>
      <c r="V188" s="12">
        <f t="shared" si="59"/>
        <v>-0.5</v>
      </c>
      <c r="W188" s="12">
        <f t="shared" si="46"/>
        <v>0</v>
      </c>
      <c r="X188" s="12">
        <f t="shared" si="47"/>
        <v>-0.5</v>
      </c>
      <c r="Y188" s="20">
        <f t="shared" si="60"/>
        <v>-12.549999999999997</v>
      </c>
      <c r="Z188" s="12">
        <f t="shared" si="61"/>
        <v>0</v>
      </c>
      <c r="AA188" s="12">
        <f t="shared" si="62"/>
        <v>-12.549999999999997</v>
      </c>
      <c r="AB188" s="8">
        <v>1</v>
      </c>
      <c r="AC188" s="20">
        <f t="shared" si="48"/>
        <v>48200</v>
      </c>
      <c r="AD188" s="20">
        <f t="shared" si="63"/>
        <v>36150.000000000007</v>
      </c>
      <c r="AE188" s="20">
        <f t="shared" si="49"/>
        <v>48700</v>
      </c>
      <c r="AF188" s="21">
        <f t="shared" si="50"/>
        <v>-500</v>
      </c>
      <c r="AG188" s="23">
        <f t="shared" si="51"/>
        <v>1.3333333333333333</v>
      </c>
      <c r="AH188" s="20">
        <f t="shared" si="52"/>
        <v>36150.000000000007</v>
      </c>
      <c r="AI188" s="20">
        <f t="shared" si="53"/>
        <v>36525.000000000007</v>
      </c>
      <c r="AJ188" s="20">
        <f t="shared" si="64"/>
        <v>-375</v>
      </c>
      <c r="AK188" s="47">
        <f t="shared" si="54"/>
        <v>1.3333333333333333</v>
      </c>
    </row>
    <row r="189" spans="1:37" x14ac:dyDescent="0.25">
      <c r="A189" s="8" t="s">
        <v>35</v>
      </c>
      <c r="B189" s="8" t="s">
        <v>263</v>
      </c>
      <c r="C189" s="8" t="s">
        <v>212</v>
      </c>
      <c r="D189" s="8">
        <v>1</v>
      </c>
      <c r="G189" s="8">
        <f t="shared" si="55"/>
        <v>1</v>
      </c>
      <c r="K189" s="8">
        <f t="shared" si="56"/>
        <v>0</v>
      </c>
      <c r="L189" s="8">
        <v>3</v>
      </c>
      <c r="M189" s="8">
        <v>0</v>
      </c>
      <c r="N189" s="8">
        <v>0</v>
      </c>
      <c r="O189" s="8">
        <f t="shared" si="57"/>
        <v>3</v>
      </c>
      <c r="P189" s="31">
        <v>1.5</v>
      </c>
      <c r="Q189" s="31">
        <v>1.25</v>
      </c>
      <c r="R189" s="66">
        <f>IF(A189='Свод по районам'!$A$23,'Свод по районам'!$G$23,0)</f>
        <v>1.5071531257293651</v>
      </c>
      <c r="S189" s="76">
        <f>ROUND(((D189*$K$7+E189*$K$8+F189*$K$9)+(H189*$AA$7+I189*$AA$8+J189*$AA$9)+(L189*'по детям'!$K$10*0.2+M189*'по детям'!$K$11*0.2+N189*'по детям'!$K$12*0.2))*P189*Q189/1.302/12,1)</f>
        <v>49.5</v>
      </c>
      <c r="T189" s="12">
        <f t="shared" si="58"/>
        <v>37.125</v>
      </c>
      <c r="U189" s="11">
        <v>58.9</v>
      </c>
      <c r="V189" s="12">
        <f t="shared" si="59"/>
        <v>-9.3999999999999986</v>
      </c>
      <c r="W189" s="12">
        <f t="shared" si="46"/>
        <v>0</v>
      </c>
      <c r="X189" s="12">
        <f t="shared" si="47"/>
        <v>-9.3999999999999986</v>
      </c>
      <c r="Y189" s="20">
        <f t="shared" si="60"/>
        <v>-21.774999999999999</v>
      </c>
      <c r="Z189" s="12">
        <f t="shared" si="61"/>
        <v>0</v>
      </c>
      <c r="AA189" s="12">
        <f t="shared" si="62"/>
        <v>-21.774999999999999</v>
      </c>
      <c r="AB189" s="8">
        <v>1</v>
      </c>
      <c r="AC189" s="20">
        <f t="shared" si="48"/>
        <v>49500</v>
      </c>
      <c r="AD189" s="20">
        <f t="shared" si="63"/>
        <v>37125</v>
      </c>
      <c r="AE189" s="20">
        <f t="shared" si="49"/>
        <v>58900</v>
      </c>
      <c r="AF189" s="21">
        <f t="shared" si="50"/>
        <v>-9400</v>
      </c>
      <c r="AG189" s="23">
        <f t="shared" si="51"/>
        <v>1.3333333333333333</v>
      </c>
      <c r="AH189" s="20">
        <f t="shared" si="52"/>
        <v>37125</v>
      </c>
      <c r="AI189" s="20">
        <f t="shared" si="53"/>
        <v>44175.000000000007</v>
      </c>
      <c r="AJ189" s="20">
        <f t="shared" si="64"/>
        <v>-7050.0000000000073</v>
      </c>
      <c r="AK189" s="47">
        <f t="shared" si="54"/>
        <v>1.3333333333333333</v>
      </c>
    </row>
    <row r="190" spans="1:37" x14ac:dyDescent="0.25">
      <c r="A190" s="8" t="s">
        <v>35</v>
      </c>
      <c r="B190" s="8" t="s">
        <v>263</v>
      </c>
      <c r="C190" s="8" t="s">
        <v>213</v>
      </c>
      <c r="D190" s="8">
        <v>2</v>
      </c>
      <c r="E190" s="8">
        <v>1</v>
      </c>
      <c r="G190" s="8">
        <f t="shared" si="55"/>
        <v>3</v>
      </c>
      <c r="K190" s="8">
        <f t="shared" si="56"/>
        <v>0</v>
      </c>
      <c r="L190" s="8">
        <v>0</v>
      </c>
      <c r="M190" s="8">
        <v>0</v>
      </c>
      <c r="N190" s="8">
        <v>0</v>
      </c>
      <c r="O190" s="8">
        <f t="shared" si="57"/>
        <v>0</v>
      </c>
      <c r="P190" s="31">
        <v>1.5</v>
      </c>
      <c r="Q190" s="31">
        <v>1.25</v>
      </c>
      <c r="R190" s="66">
        <f>IF(A190='Свод по районам'!$A$23,'Свод по районам'!$G$23,0)</f>
        <v>1.5071531257293651</v>
      </c>
      <c r="S190" s="76">
        <f>ROUND(((D190*$K$7+E190*$K$8+F190*$K$9)+(H190*$AA$7+I190*$AA$8+J190*$AA$9)+(L190*'по детям'!$K$10*0.2+M190*'по детям'!$K$11*0.2+N190*'по детям'!$K$12*0.2))*P190*Q190/1.302/12,1)</f>
        <v>161.80000000000001</v>
      </c>
      <c r="T190" s="12">
        <f t="shared" si="58"/>
        <v>107.86666666666667</v>
      </c>
      <c r="U190" s="11">
        <v>126.07506000000001</v>
      </c>
      <c r="V190" s="12">
        <f t="shared" si="59"/>
        <v>35.724940000000004</v>
      </c>
      <c r="W190" s="12">
        <f t="shared" si="46"/>
        <v>35.724940000000004</v>
      </c>
      <c r="X190" s="12">
        <f t="shared" si="47"/>
        <v>0</v>
      </c>
      <c r="Y190" s="20">
        <f t="shared" si="60"/>
        <v>-18.208393333333333</v>
      </c>
      <c r="Z190" s="12">
        <f t="shared" si="61"/>
        <v>0</v>
      </c>
      <c r="AA190" s="12">
        <f t="shared" si="62"/>
        <v>-18.208393333333333</v>
      </c>
      <c r="AB190" s="8">
        <v>3</v>
      </c>
      <c r="AC190" s="20">
        <f t="shared" si="48"/>
        <v>53933.333333333336</v>
      </c>
      <c r="AD190" s="20">
        <f t="shared" si="63"/>
        <v>35955.555555555555</v>
      </c>
      <c r="AE190" s="20">
        <f t="shared" si="49"/>
        <v>42025.020000000004</v>
      </c>
      <c r="AF190" s="21">
        <f t="shared" si="50"/>
        <v>11908.313333333332</v>
      </c>
      <c r="AG190" s="23">
        <f t="shared" si="51"/>
        <v>4.5</v>
      </c>
      <c r="AH190" s="20">
        <f t="shared" si="52"/>
        <v>35955.555555555555</v>
      </c>
      <c r="AI190" s="20">
        <f t="shared" si="53"/>
        <v>28016.68</v>
      </c>
      <c r="AJ190" s="20">
        <f t="shared" si="64"/>
        <v>7938.8755555555545</v>
      </c>
      <c r="AK190" s="47">
        <f t="shared" si="54"/>
        <v>1.5</v>
      </c>
    </row>
    <row r="191" spans="1:37" x14ac:dyDescent="0.25">
      <c r="A191" s="8" t="s">
        <v>35</v>
      </c>
      <c r="B191" s="8" t="s">
        <v>263</v>
      </c>
      <c r="C191" s="8" t="s">
        <v>214</v>
      </c>
      <c r="E191" s="8">
        <v>1</v>
      </c>
      <c r="G191" s="8">
        <f t="shared" si="55"/>
        <v>1</v>
      </c>
      <c r="K191" s="8">
        <f t="shared" si="56"/>
        <v>0</v>
      </c>
      <c r="L191" s="8">
        <v>0</v>
      </c>
      <c r="M191" s="8">
        <v>0</v>
      </c>
      <c r="N191" s="8">
        <v>0</v>
      </c>
      <c r="O191" s="8">
        <f t="shared" si="57"/>
        <v>0</v>
      </c>
      <c r="P191" s="31">
        <v>1.5</v>
      </c>
      <c r="Q191" s="31">
        <v>1.25</v>
      </c>
      <c r="R191" s="66">
        <f>IF(A191='Свод по районам'!$A$23,'Свод по районам'!$G$23,0)</f>
        <v>1.5071531257293651</v>
      </c>
      <c r="S191" s="76">
        <f>ROUND(((D191*$K$7+E191*$K$8+F191*$K$9)+(H191*$AA$7+I191*$AA$8+J191*$AA$9)+(L191*'по детям'!$K$10*0.2+M191*'по детям'!$K$11*0.2+N191*'по детям'!$K$12*0.2))*P191*Q191/1.302/12,1)</f>
        <v>65.400000000000006</v>
      </c>
      <c r="T191" s="12">
        <f t="shared" si="58"/>
        <v>35.672727272727279</v>
      </c>
      <c r="U191" s="11">
        <v>48.7</v>
      </c>
      <c r="V191" s="12">
        <f t="shared" si="59"/>
        <v>16.700000000000003</v>
      </c>
      <c r="W191" s="12">
        <f t="shared" si="46"/>
        <v>16.700000000000003</v>
      </c>
      <c r="X191" s="12">
        <f t="shared" si="47"/>
        <v>0</v>
      </c>
      <c r="Y191" s="20">
        <f t="shared" si="60"/>
        <v>-13.027272727272724</v>
      </c>
      <c r="Z191" s="12">
        <f t="shared" si="61"/>
        <v>0</v>
      </c>
      <c r="AA191" s="12">
        <f t="shared" si="62"/>
        <v>-13.027272727272724</v>
      </c>
      <c r="AB191" s="8">
        <v>1</v>
      </c>
      <c r="AC191" s="20">
        <f t="shared" si="48"/>
        <v>65400.000000000007</v>
      </c>
      <c r="AD191" s="20">
        <f t="shared" si="63"/>
        <v>35672.727272727279</v>
      </c>
      <c r="AE191" s="20">
        <f t="shared" si="49"/>
        <v>48700</v>
      </c>
      <c r="AF191" s="21">
        <f t="shared" si="50"/>
        <v>16700.000000000007</v>
      </c>
      <c r="AG191" s="23">
        <f t="shared" si="51"/>
        <v>1.8333333333333333</v>
      </c>
      <c r="AH191" s="20">
        <f t="shared" si="52"/>
        <v>35672.727272727279</v>
      </c>
      <c r="AI191" s="20">
        <f t="shared" si="53"/>
        <v>26563.636363636368</v>
      </c>
      <c r="AJ191" s="20">
        <f t="shared" si="64"/>
        <v>9109.0909090909117</v>
      </c>
      <c r="AK191" s="47">
        <f t="shared" si="54"/>
        <v>1.8333333333333333</v>
      </c>
    </row>
    <row r="192" spans="1:37" x14ac:dyDescent="0.25">
      <c r="A192" s="8" t="s">
        <v>35</v>
      </c>
      <c r="B192" s="8" t="s">
        <v>263</v>
      </c>
      <c r="C192" s="8" t="s">
        <v>215</v>
      </c>
      <c r="D192" s="8">
        <v>1</v>
      </c>
      <c r="E192" s="8">
        <v>1</v>
      </c>
      <c r="G192" s="8">
        <f t="shared" si="55"/>
        <v>2</v>
      </c>
      <c r="K192" s="8">
        <f t="shared" si="56"/>
        <v>0</v>
      </c>
      <c r="L192" s="8">
        <v>0</v>
      </c>
      <c r="M192" s="8">
        <v>0</v>
      </c>
      <c r="N192" s="8">
        <v>0</v>
      </c>
      <c r="O192" s="8">
        <f t="shared" si="57"/>
        <v>0</v>
      </c>
      <c r="P192" s="31">
        <v>1.5</v>
      </c>
      <c r="Q192" s="31">
        <v>1.25</v>
      </c>
      <c r="R192" s="66">
        <f>IF(A192='Свод по районам'!$A$23,'Свод по районам'!$G$23,0)</f>
        <v>1.5071531257293651</v>
      </c>
      <c r="S192" s="76">
        <f>ROUND(((D192*$K$7+E192*$K$8+F192*$K$9)+(H192*$AA$7+I192*$AA$8+J192*$AA$9)+(L192*'по детям'!$K$10*0.2+M192*'по детям'!$K$11*0.2+N192*'по детям'!$K$12*0.2))*P192*Q192/1.302/12,1)</f>
        <v>113.6</v>
      </c>
      <c r="T192" s="12">
        <f t="shared" si="58"/>
        <v>60.985263157894735</v>
      </c>
      <c r="U192" s="11">
        <v>79.763480000000001</v>
      </c>
      <c r="V192" s="12">
        <f t="shared" si="59"/>
        <v>33.836519999999993</v>
      </c>
      <c r="W192" s="12">
        <f t="shared" si="46"/>
        <v>33.836519999999993</v>
      </c>
      <c r="X192" s="12">
        <f t="shared" si="47"/>
        <v>0</v>
      </c>
      <c r="Y192" s="20">
        <f t="shared" si="60"/>
        <v>-18.778216842105266</v>
      </c>
      <c r="Z192" s="12">
        <f t="shared" si="61"/>
        <v>0</v>
      </c>
      <c r="AA192" s="12">
        <f t="shared" si="62"/>
        <v>-18.778216842105266</v>
      </c>
      <c r="AB192" s="8">
        <v>1.7</v>
      </c>
      <c r="AC192" s="20">
        <f t="shared" si="48"/>
        <v>66823.529411764714</v>
      </c>
      <c r="AD192" s="20">
        <f t="shared" si="63"/>
        <v>35873.684210526313</v>
      </c>
      <c r="AE192" s="20">
        <f t="shared" si="49"/>
        <v>46919.694117647065</v>
      </c>
      <c r="AF192" s="21">
        <f t="shared" si="50"/>
        <v>19903.835294117649</v>
      </c>
      <c r="AG192" s="23">
        <f t="shared" si="51"/>
        <v>3.1666666666666665</v>
      </c>
      <c r="AH192" s="20">
        <f t="shared" si="52"/>
        <v>35873.684210526313</v>
      </c>
      <c r="AI192" s="20">
        <f t="shared" si="53"/>
        <v>25188.467368421054</v>
      </c>
      <c r="AJ192" s="20">
        <f t="shared" si="64"/>
        <v>10685.216842105259</v>
      </c>
      <c r="AK192" s="47">
        <f t="shared" si="54"/>
        <v>1.8627450980392157</v>
      </c>
    </row>
    <row r="193" spans="1:37" x14ac:dyDescent="0.25">
      <c r="A193" s="8" t="s">
        <v>35</v>
      </c>
      <c r="B193" s="8" t="s">
        <v>263</v>
      </c>
      <c r="C193" s="8" t="s">
        <v>216</v>
      </c>
      <c r="D193" s="8">
        <v>1</v>
      </c>
      <c r="G193" s="8">
        <f t="shared" si="55"/>
        <v>1</v>
      </c>
      <c r="K193" s="8">
        <f t="shared" si="56"/>
        <v>0</v>
      </c>
      <c r="L193" s="8">
        <v>0</v>
      </c>
      <c r="M193" s="8">
        <v>0</v>
      </c>
      <c r="N193" s="8">
        <v>0</v>
      </c>
      <c r="O193" s="8">
        <f t="shared" si="57"/>
        <v>0</v>
      </c>
      <c r="P193" s="31">
        <v>1.5</v>
      </c>
      <c r="Q193" s="31">
        <v>1.25</v>
      </c>
      <c r="R193" s="66">
        <f>IF(A193='Свод по районам'!$A$23,'Свод по районам'!$G$23,0)</f>
        <v>1.5071531257293651</v>
      </c>
      <c r="S193" s="76">
        <f>ROUND(((D193*$K$7+E193*$K$8+F193*$K$9)+(H193*$AA$7+I193*$AA$8+J193*$AA$9)+(L193*'по детям'!$K$10*0.2+M193*'по детям'!$K$11*0.2+N193*'по детям'!$K$12*0.2))*P193*Q193/1.302/12,1)</f>
        <v>48.2</v>
      </c>
      <c r="T193" s="12">
        <f t="shared" si="58"/>
        <v>36.150000000000006</v>
      </c>
      <c r="U193" s="11">
        <v>48.7</v>
      </c>
      <c r="V193" s="12">
        <f t="shared" si="59"/>
        <v>-0.5</v>
      </c>
      <c r="W193" s="12">
        <f t="shared" si="46"/>
        <v>0</v>
      </c>
      <c r="X193" s="12">
        <f t="shared" si="47"/>
        <v>-0.5</v>
      </c>
      <c r="Y193" s="20">
        <f t="shared" si="60"/>
        <v>-12.549999999999997</v>
      </c>
      <c r="Z193" s="12">
        <f t="shared" si="61"/>
        <v>0</v>
      </c>
      <c r="AA193" s="12">
        <f t="shared" si="62"/>
        <v>-12.549999999999997</v>
      </c>
      <c r="AB193" s="8">
        <v>1</v>
      </c>
      <c r="AC193" s="20">
        <f t="shared" si="48"/>
        <v>48200</v>
      </c>
      <c r="AD193" s="20">
        <f t="shared" si="63"/>
        <v>36150.000000000007</v>
      </c>
      <c r="AE193" s="20">
        <f t="shared" si="49"/>
        <v>48700</v>
      </c>
      <c r="AF193" s="21">
        <f t="shared" si="50"/>
        <v>-500</v>
      </c>
      <c r="AG193" s="23">
        <f t="shared" si="51"/>
        <v>1.3333333333333333</v>
      </c>
      <c r="AH193" s="20">
        <f t="shared" si="52"/>
        <v>36150.000000000007</v>
      </c>
      <c r="AI193" s="20">
        <f t="shared" si="53"/>
        <v>36525.000000000007</v>
      </c>
      <c r="AJ193" s="20">
        <f t="shared" si="64"/>
        <v>-375</v>
      </c>
      <c r="AK193" s="47">
        <f t="shared" si="54"/>
        <v>1.3333333333333333</v>
      </c>
    </row>
    <row r="194" spans="1:37" x14ac:dyDescent="0.25">
      <c r="A194" s="8" t="s">
        <v>35</v>
      </c>
      <c r="C194" s="8" t="s">
        <v>217</v>
      </c>
      <c r="D194" s="8">
        <v>3</v>
      </c>
      <c r="E194" s="8">
        <v>2</v>
      </c>
      <c r="G194" s="8">
        <f t="shared" si="55"/>
        <v>5</v>
      </c>
      <c r="K194" s="8">
        <f t="shared" si="56"/>
        <v>0</v>
      </c>
      <c r="L194" s="8">
        <v>1</v>
      </c>
      <c r="M194" s="8">
        <v>0</v>
      </c>
      <c r="N194" s="8">
        <v>0</v>
      </c>
      <c r="O194" s="8">
        <f t="shared" si="57"/>
        <v>1</v>
      </c>
      <c r="P194" s="31">
        <v>1.5</v>
      </c>
      <c r="Q194" s="31">
        <v>1.25</v>
      </c>
      <c r="R194" s="66">
        <f>IF(A194='Свод по районам'!$A$23,'Свод по районам'!$G$23,0)</f>
        <v>1.5071531257293651</v>
      </c>
      <c r="S194" s="76">
        <f>ROUND(((D194*$K$7+E194*$K$8+F194*$K$9)+(H194*$AA$7+I194*$AA$8+J194*$AA$9)+(L194*'по детям'!$K$10*0.2+M194*'по детям'!$K$11*0.2+N194*'по детям'!$K$12*0.2))*P194*Q194/1.302/12,1)</f>
        <v>275.8</v>
      </c>
      <c r="T194" s="12">
        <f t="shared" si="58"/>
        <v>287.7913043478261</v>
      </c>
      <c r="U194" s="11">
        <v>185.54642999999999</v>
      </c>
      <c r="V194" s="12">
        <f t="shared" si="59"/>
        <v>90.253570000000025</v>
      </c>
      <c r="W194" s="12">
        <f t="shared" si="46"/>
        <v>90.253570000000025</v>
      </c>
      <c r="X194" s="12">
        <f t="shared" si="47"/>
        <v>0</v>
      </c>
      <c r="Y194" s="20">
        <f t="shared" si="60"/>
        <v>102.24487434782611</v>
      </c>
      <c r="Z194" s="12">
        <f t="shared" si="61"/>
        <v>102.24487434782611</v>
      </c>
      <c r="AA194" s="12">
        <f t="shared" si="62"/>
        <v>0</v>
      </c>
      <c r="AB194" s="8">
        <v>8</v>
      </c>
      <c r="AC194" s="20">
        <f t="shared" si="48"/>
        <v>34475</v>
      </c>
      <c r="AD194" s="20">
        <f t="shared" si="63"/>
        <v>35973.913043478264</v>
      </c>
      <c r="AE194" s="20">
        <f t="shared" si="49"/>
        <v>23193.303749999999</v>
      </c>
      <c r="AF194" s="21">
        <f t="shared" si="50"/>
        <v>11281.696250000001</v>
      </c>
      <c r="AG194" s="23">
        <f t="shared" si="51"/>
        <v>7.6666666666666661</v>
      </c>
      <c r="AH194" s="20">
        <f t="shared" si="52"/>
        <v>35973.913043478264</v>
      </c>
      <c r="AI194" s="20">
        <f t="shared" si="53"/>
        <v>24201.708260869567</v>
      </c>
      <c r="AJ194" s="20">
        <f t="shared" si="64"/>
        <v>11772.204782608696</v>
      </c>
      <c r="AK194" s="47">
        <f t="shared" si="54"/>
        <v>0.95833333333333326</v>
      </c>
    </row>
    <row r="195" spans="1:37" x14ac:dyDescent="0.25">
      <c r="A195" s="8" t="s">
        <v>35</v>
      </c>
      <c r="C195" s="8" t="s">
        <v>218</v>
      </c>
      <c r="D195" s="8">
        <v>3</v>
      </c>
      <c r="E195" s="8">
        <v>5</v>
      </c>
      <c r="F195" s="8">
        <v>1</v>
      </c>
      <c r="G195" s="8">
        <f t="shared" si="55"/>
        <v>9</v>
      </c>
      <c r="K195" s="8">
        <f t="shared" si="56"/>
        <v>0</v>
      </c>
      <c r="L195" s="8">
        <v>0</v>
      </c>
      <c r="M195" s="8">
        <v>2</v>
      </c>
      <c r="N195" s="8">
        <v>0</v>
      </c>
      <c r="O195" s="8">
        <f t="shared" si="57"/>
        <v>2</v>
      </c>
      <c r="P195" s="31">
        <v>1.5</v>
      </c>
      <c r="Q195" s="31">
        <v>1.25</v>
      </c>
      <c r="R195" s="66">
        <f>IF(A195='Свод по районам'!$A$23,'Свод по районам'!$G$23,0)</f>
        <v>1.5071531257293651</v>
      </c>
      <c r="S195" s="76">
        <f>ROUND(((D195*$K$7+E195*$K$8+F195*$K$9)+(H195*$AA$7+I195*$AA$8+J195*$AA$9)+(L195*'по детям'!$K$10*0.2+M195*'по детям'!$K$11*0.2+N195*'по детям'!$K$12*0.2))*P195*Q195/1.302/12,1)</f>
        <v>544.20000000000005</v>
      </c>
      <c r="T195" s="12">
        <f t="shared" si="58"/>
        <v>322.93186813186816</v>
      </c>
      <c r="U195" s="11">
        <v>314.83114999999998</v>
      </c>
      <c r="V195" s="12">
        <f t="shared" si="59"/>
        <v>229.36885000000007</v>
      </c>
      <c r="W195" s="12">
        <f t="shared" si="46"/>
        <v>229.36885000000007</v>
      </c>
      <c r="X195" s="12">
        <f t="shared" si="47"/>
        <v>0</v>
      </c>
      <c r="Y195" s="20">
        <f t="shared" si="60"/>
        <v>8.1007181318681774</v>
      </c>
      <c r="Z195" s="12">
        <f t="shared" si="61"/>
        <v>8.1007181318681774</v>
      </c>
      <c r="AA195" s="12">
        <f t="shared" si="62"/>
        <v>0</v>
      </c>
      <c r="AB195" s="8">
        <v>9</v>
      </c>
      <c r="AC195" s="20">
        <f t="shared" si="48"/>
        <v>60466.666666666672</v>
      </c>
      <c r="AD195" s="20">
        <f t="shared" si="63"/>
        <v>35881.318681318684</v>
      </c>
      <c r="AE195" s="20">
        <f t="shared" si="49"/>
        <v>34981.238888888889</v>
      </c>
      <c r="AF195" s="21">
        <f t="shared" si="50"/>
        <v>25485.427777777782</v>
      </c>
      <c r="AG195" s="23">
        <f t="shared" si="51"/>
        <v>15.166666666666666</v>
      </c>
      <c r="AH195" s="20">
        <f t="shared" si="52"/>
        <v>35881.318681318691</v>
      </c>
      <c r="AI195" s="20">
        <f t="shared" si="53"/>
        <v>20758.097802197804</v>
      </c>
      <c r="AJ195" s="20">
        <f t="shared" si="64"/>
        <v>15123.220879120887</v>
      </c>
      <c r="AK195" s="47">
        <f t="shared" si="54"/>
        <v>1.6851851851851851</v>
      </c>
    </row>
    <row r="196" spans="1:37" x14ac:dyDescent="0.25">
      <c r="A196" s="8" t="s">
        <v>35</v>
      </c>
      <c r="B196" s="8" t="s">
        <v>263</v>
      </c>
      <c r="C196" s="8" t="s">
        <v>219</v>
      </c>
      <c r="D196" s="8">
        <v>2</v>
      </c>
      <c r="E196" s="8">
        <v>3</v>
      </c>
      <c r="G196" s="8">
        <f t="shared" si="55"/>
        <v>5</v>
      </c>
      <c r="H196" s="8">
        <v>1</v>
      </c>
      <c r="K196" s="8">
        <f t="shared" si="56"/>
        <v>1</v>
      </c>
      <c r="L196" s="8">
        <v>5</v>
      </c>
      <c r="M196" s="8">
        <v>1</v>
      </c>
      <c r="N196" s="8">
        <v>0</v>
      </c>
      <c r="O196" s="8">
        <f t="shared" si="57"/>
        <v>6</v>
      </c>
      <c r="P196" s="31">
        <v>1.5</v>
      </c>
      <c r="Q196" s="31">
        <v>1.25</v>
      </c>
      <c r="R196" s="66">
        <f>IF(A196='Свод по районам'!$A$23,'Свод по районам'!$G$23,0)</f>
        <v>1.5071531257293651</v>
      </c>
      <c r="S196" s="76">
        <f>ROUND(((D196*$K$7+E196*$K$8+F196*$K$9)+(H196*$AA$7+I196*$AA$8+J196*$AA$9)+(L196*'по детям'!$K$10*0.2+M196*'по детям'!$K$11*0.2+N196*'по детям'!$K$12*0.2))*P196*Q196/1.302/12,1)</f>
        <v>307.10000000000002</v>
      </c>
      <c r="T196" s="12">
        <f t="shared" si="58"/>
        <v>260.34154838709679</v>
      </c>
      <c r="U196" s="11">
        <v>204.26946000000001</v>
      </c>
      <c r="V196" s="12">
        <f t="shared" si="59"/>
        <v>102.83054000000001</v>
      </c>
      <c r="W196" s="12">
        <f t="shared" si="46"/>
        <v>102.83054000000001</v>
      </c>
      <c r="X196" s="12">
        <f t="shared" si="47"/>
        <v>0</v>
      </c>
      <c r="Y196" s="20">
        <f t="shared" si="60"/>
        <v>56.072088387096784</v>
      </c>
      <c r="Z196" s="12">
        <f t="shared" si="61"/>
        <v>56.072088387096784</v>
      </c>
      <c r="AA196" s="12">
        <f t="shared" si="62"/>
        <v>0</v>
      </c>
      <c r="AB196" s="8">
        <v>7.3</v>
      </c>
      <c r="AC196" s="20">
        <f t="shared" si="48"/>
        <v>42068.493150684939</v>
      </c>
      <c r="AD196" s="20">
        <f t="shared" si="63"/>
        <v>35663.225806451614</v>
      </c>
      <c r="AE196" s="20">
        <f t="shared" si="49"/>
        <v>27982.11780821918</v>
      </c>
      <c r="AF196" s="21">
        <f t="shared" si="50"/>
        <v>14086.375342465759</v>
      </c>
      <c r="AG196" s="23">
        <f t="shared" si="51"/>
        <v>8.6111111111111107</v>
      </c>
      <c r="AH196" s="20">
        <f t="shared" si="52"/>
        <v>35663.225806451614</v>
      </c>
      <c r="AI196" s="20">
        <f t="shared" si="53"/>
        <v>23721.614709677422</v>
      </c>
      <c r="AJ196" s="20">
        <f t="shared" si="64"/>
        <v>11941.611096774192</v>
      </c>
      <c r="AK196" s="47">
        <f t="shared" si="54"/>
        <v>1.1796042617960425</v>
      </c>
    </row>
    <row r="197" spans="1:37" x14ac:dyDescent="0.25">
      <c r="A197" s="8" t="s">
        <v>35</v>
      </c>
      <c r="B197" s="8" t="s">
        <v>263</v>
      </c>
      <c r="C197" s="8" t="s">
        <v>220</v>
      </c>
      <c r="D197" s="8">
        <v>2</v>
      </c>
      <c r="E197" s="8">
        <v>2</v>
      </c>
      <c r="G197" s="8">
        <f t="shared" si="55"/>
        <v>4</v>
      </c>
      <c r="K197" s="8">
        <f t="shared" si="56"/>
        <v>0</v>
      </c>
      <c r="L197" s="8">
        <v>2</v>
      </c>
      <c r="M197" s="8">
        <v>0</v>
      </c>
      <c r="N197" s="8">
        <v>0</v>
      </c>
      <c r="O197" s="8">
        <f t="shared" si="57"/>
        <v>2</v>
      </c>
      <c r="P197" s="31">
        <v>1.5</v>
      </c>
      <c r="Q197" s="31">
        <v>1.25</v>
      </c>
      <c r="R197" s="66">
        <f>IF(A197='Свод по районам'!$A$23,'Свод по районам'!$G$23,0)</f>
        <v>1.5071531257293651</v>
      </c>
      <c r="S197" s="76">
        <f>ROUND(((D197*$K$7+E197*$K$8+F197*$K$9)+(H197*$AA$7+I197*$AA$8+J197*$AA$9)+(L197*'по детям'!$K$10*0.2+M197*'по детям'!$K$11*0.2+N197*'по детям'!$K$12*0.2))*P197*Q197/1.302/12,1)</f>
        <v>228</v>
      </c>
      <c r="T197" s="12">
        <f t="shared" si="58"/>
        <v>241.20000000000002</v>
      </c>
      <c r="U197" s="11">
        <v>108.65129999999999</v>
      </c>
      <c r="V197" s="12">
        <f t="shared" si="59"/>
        <v>119.34870000000001</v>
      </c>
      <c r="W197" s="12">
        <f t="shared" si="46"/>
        <v>119.34870000000001</v>
      </c>
      <c r="X197" s="12">
        <f t="shared" si="47"/>
        <v>0</v>
      </c>
      <c r="Y197" s="20">
        <f t="shared" si="60"/>
        <v>132.54870000000003</v>
      </c>
      <c r="Z197" s="12">
        <f t="shared" si="61"/>
        <v>132.54870000000003</v>
      </c>
      <c r="AA197" s="12">
        <f t="shared" si="62"/>
        <v>0</v>
      </c>
      <c r="AB197" s="8">
        <v>6.7</v>
      </c>
      <c r="AC197" s="20">
        <f t="shared" si="48"/>
        <v>34029.850746268654</v>
      </c>
      <c r="AD197" s="20">
        <f t="shared" si="63"/>
        <v>36000</v>
      </c>
      <c r="AE197" s="20">
        <f t="shared" si="49"/>
        <v>16216.611940298506</v>
      </c>
      <c r="AF197" s="21">
        <f t="shared" si="50"/>
        <v>17813.238805970148</v>
      </c>
      <c r="AG197" s="23">
        <f t="shared" si="51"/>
        <v>6.333333333333333</v>
      </c>
      <c r="AH197" s="20">
        <f t="shared" si="52"/>
        <v>36000</v>
      </c>
      <c r="AI197" s="20">
        <f t="shared" si="53"/>
        <v>17155.468421052632</v>
      </c>
      <c r="AJ197" s="20">
        <f t="shared" si="64"/>
        <v>18844.531578947368</v>
      </c>
      <c r="AK197" s="47">
        <f t="shared" si="54"/>
        <v>0.94527363184079594</v>
      </c>
    </row>
    <row r="198" spans="1:37" x14ac:dyDescent="0.25">
      <c r="A198" s="8" t="s">
        <v>35</v>
      </c>
      <c r="C198" s="8" t="s">
        <v>221</v>
      </c>
      <c r="D198" s="8">
        <v>2</v>
      </c>
      <c r="E198" s="8">
        <v>3</v>
      </c>
      <c r="G198" s="8">
        <f t="shared" si="55"/>
        <v>5</v>
      </c>
      <c r="K198" s="8">
        <f t="shared" si="56"/>
        <v>0</v>
      </c>
      <c r="L198" s="8">
        <v>0</v>
      </c>
      <c r="M198" s="8">
        <v>0</v>
      </c>
      <c r="N198" s="8">
        <v>0</v>
      </c>
      <c r="O198" s="8">
        <f t="shared" si="57"/>
        <v>0</v>
      </c>
      <c r="P198" s="31">
        <v>1.5</v>
      </c>
      <c r="Q198" s="31">
        <v>1.25</v>
      </c>
      <c r="R198" s="66">
        <f>IF(A198='Свод по районам'!$A$23,'Свод по районам'!$G$23,0)</f>
        <v>1.5071531257293651</v>
      </c>
      <c r="S198" s="76">
        <f>ROUND(((D198*$K$7+E198*$K$8+F198*$K$9)+(H198*$AA$7+I198*$AA$8+J198*$AA$9)+(L198*'по детям'!$K$10*0.2+M198*'по детям'!$K$11*0.2+N198*'по детям'!$K$12*0.2))*P198*Q198/1.302/12,1)</f>
        <v>292.60000000000002</v>
      </c>
      <c r="T198" s="12">
        <f t="shared" si="58"/>
        <v>179.14285714285717</v>
      </c>
      <c r="U198" s="11">
        <v>185.05651</v>
      </c>
      <c r="V198" s="12">
        <f t="shared" si="59"/>
        <v>107.54349000000002</v>
      </c>
      <c r="W198" s="12">
        <f t="shared" si="46"/>
        <v>107.54349000000002</v>
      </c>
      <c r="X198" s="12">
        <f t="shared" si="47"/>
        <v>0</v>
      </c>
      <c r="Y198" s="20">
        <f t="shared" si="60"/>
        <v>-5.9136528571428357</v>
      </c>
      <c r="Z198" s="12">
        <f t="shared" si="61"/>
        <v>0</v>
      </c>
      <c r="AA198" s="12">
        <f t="shared" si="62"/>
        <v>-5.9136528571428357</v>
      </c>
      <c r="AB198" s="8">
        <v>5</v>
      </c>
      <c r="AC198" s="20">
        <f t="shared" si="48"/>
        <v>58520</v>
      </c>
      <c r="AD198" s="20">
        <f t="shared" si="63"/>
        <v>35828.571428571435</v>
      </c>
      <c r="AE198" s="20">
        <f t="shared" si="49"/>
        <v>37011.302000000003</v>
      </c>
      <c r="AF198" s="21">
        <f t="shared" si="50"/>
        <v>21508.697999999997</v>
      </c>
      <c r="AG198" s="23">
        <f t="shared" si="51"/>
        <v>8.1666666666666661</v>
      </c>
      <c r="AH198" s="20">
        <f t="shared" si="52"/>
        <v>35828.571428571435</v>
      </c>
      <c r="AI198" s="20">
        <f t="shared" si="53"/>
        <v>22659.980816326533</v>
      </c>
      <c r="AJ198" s="20">
        <f t="shared" si="64"/>
        <v>13168.590612244901</v>
      </c>
      <c r="AK198" s="47">
        <f t="shared" si="54"/>
        <v>1.6333333333333333</v>
      </c>
    </row>
    <row r="199" spans="1:37" x14ac:dyDescent="0.25">
      <c r="A199" s="8" t="s">
        <v>35</v>
      </c>
      <c r="C199" s="8" t="s">
        <v>222</v>
      </c>
      <c r="D199" s="8">
        <v>2</v>
      </c>
      <c r="E199" s="8">
        <v>3</v>
      </c>
      <c r="G199" s="8">
        <f t="shared" si="55"/>
        <v>5</v>
      </c>
      <c r="K199" s="8">
        <f t="shared" si="56"/>
        <v>0</v>
      </c>
      <c r="L199" s="8">
        <v>0</v>
      </c>
      <c r="M199" s="8">
        <v>0</v>
      </c>
      <c r="N199" s="8">
        <v>0</v>
      </c>
      <c r="O199" s="8">
        <f t="shared" si="57"/>
        <v>0</v>
      </c>
      <c r="P199" s="31">
        <v>1.5</v>
      </c>
      <c r="Q199" s="31">
        <v>1.25</v>
      </c>
      <c r="R199" s="66">
        <f>IF(A199='Свод по районам'!$A$23,'Свод по районам'!$G$23,0)</f>
        <v>1.5071531257293651</v>
      </c>
      <c r="S199" s="76">
        <f>ROUND(((D199*$K$7+E199*$K$8+F199*$K$9)+(H199*$AA$7+I199*$AA$8+J199*$AA$9)+(L199*'по детям'!$K$10*0.2+M199*'по детям'!$K$11*0.2+N199*'по детям'!$K$12*0.2))*P199*Q199/1.302/12,1)</f>
        <v>292.60000000000002</v>
      </c>
      <c r="T199" s="12">
        <f t="shared" si="58"/>
        <v>261.54857142857145</v>
      </c>
      <c r="U199" s="11">
        <v>170.01858999999999</v>
      </c>
      <c r="V199" s="12">
        <f t="shared" si="59"/>
        <v>122.58141000000003</v>
      </c>
      <c r="W199" s="12">
        <f t="shared" si="46"/>
        <v>122.58141000000003</v>
      </c>
      <c r="X199" s="12">
        <f t="shared" si="47"/>
        <v>0</v>
      </c>
      <c r="Y199" s="20">
        <f t="shared" si="60"/>
        <v>91.52998142857146</v>
      </c>
      <c r="Z199" s="12">
        <f t="shared" si="61"/>
        <v>91.52998142857146</v>
      </c>
      <c r="AA199" s="12">
        <f t="shared" si="62"/>
        <v>0</v>
      </c>
      <c r="AB199" s="8">
        <v>7.3</v>
      </c>
      <c r="AC199" s="20">
        <f t="shared" si="48"/>
        <v>40082.191780821922</v>
      </c>
      <c r="AD199" s="20">
        <f t="shared" si="63"/>
        <v>35828.571428571428</v>
      </c>
      <c r="AE199" s="20">
        <f t="shared" si="49"/>
        <v>23290.217808219179</v>
      </c>
      <c r="AF199" s="21">
        <f t="shared" si="50"/>
        <v>16791.973972602744</v>
      </c>
      <c r="AG199" s="23">
        <f t="shared" si="51"/>
        <v>8.1666666666666661</v>
      </c>
      <c r="AH199" s="20">
        <f t="shared" si="52"/>
        <v>35828.571428571435</v>
      </c>
      <c r="AI199" s="20">
        <f t="shared" si="53"/>
        <v>20818.602857142858</v>
      </c>
      <c r="AJ199" s="20">
        <f t="shared" si="64"/>
        <v>15009.968571428577</v>
      </c>
      <c r="AK199" s="47">
        <f t="shared" si="54"/>
        <v>1.1187214611872145</v>
      </c>
    </row>
    <row r="200" spans="1:37" x14ac:dyDescent="0.25">
      <c r="A200" s="8" t="s">
        <v>35</v>
      </c>
      <c r="C200" s="8" t="s">
        <v>223</v>
      </c>
      <c r="D200" s="8">
        <v>3</v>
      </c>
      <c r="E200" s="8">
        <v>4</v>
      </c>
      <c r="F200" s="8">
        <v>1</v>
      </c>
      <c r="G200" s="8">
        <f t="shared" si="55"/>
        <v>8</v>
      </c>
      <c r="I200" s="8">
        <v>2</v>
      </c>
      <c r="K200" s="8">
        <f t="shared" si="56"/>
        <v>2</v>
      </c>
      <c r="L200" s="8">
        <v>2</v>
      </c>
      <c r="M200" s="8">
        <v>0</v>
      </c>
      <c r="N200" s="8">
        <v>0</v>
      </c>
      <c r="O200" s="8">
        <f t="shared" si="57"/>
        <v>2</v>
      </c>
      <c r="P200" s="31">
        <v>1.5</v>
      </c>
      <c r="Q200" s="31">
        <v>1.25</v>
      </c>
      <c r="R200" s="66">
        <f>IF(A200='Свод по районам'!$A$23,'Свод по районам'!$G$23,0)</f>
        <v>1.5071531257293651</v>
      </c>
      <c r="S200" s="76">
        <f>ROUND(((D200*$K$7+E200*$K$8+F200*$K$9)+(H200*$AA$7+I200*$AA$8+J200*$AA$9)+(L200*'по детям'!$K$10*0.2+M200*'по детям'!$K$11*0.2+N200*'по детям'!$K$12*0.2))*P200*Q200/1.302/12,1)</f>
        <v>510.1</v>
      </c>
      <c r="T200" s="12">
        <f t="shared" si="58"/>
        <v>385.49541984732832</v>
      </c>
      <c r="U200" s="11">
        <v>361.63577000000004</v>
      </c>
      <c r="V200" s="12">
        <f t="shared" si="59"/>
        <v>148.46422999999999</v>
      </c>
      <c r="W200" s="12">
        <f t="shared" si="46"/>
        <v>148.46422999999999</v>
      </c>
      <c r="X200" s="12">
        <f t="shared" si="47"/>
        <v>0</v>
      </c>
      <c r="Y200" s="20">
        <f t="shared" si="60"/>
        <v>23.859649847328285</v>
      </c>
      <c r="Z200" s="12">
        <f t="shared" si="61"/>
        <v>23.859649847328285</v>
      </c>
      <c r="AA200" s="12">
        <f t="shared" si="62"/>
        <v>0</v>
      </c>
      <c r="AB200" s="8">
        <v>11</v>
      </c>
      <c r="AC200" s="20">
        <f t="shared" si="48"/>
        <v>46372.727272727272</v>
      </c>
      <c r="AD200" s="20">
        <f t="shared" si="63"/>
        <v>35045.038167938939</v>
      </c>
      <c r="AE200" s="20">
        <f t="shared" si="49"/>
        <v>32875.979090909088</v>
      </c>
      <c r="AF200" s="21">
        <f t="shared" si="50"/>
        <v>13496.748181818184</v>
      </c>
      <c r="AG200" s="23">
        <f t="shared" si="51"/>
        <v>14.555555555555554</v>
      </c>
      <c r="AH200" s="20">
        <f t="shared" si="52"/>
        <v>35045.038167938939</v>
      </c>
      <c r="AI200" s="20">
        <f t="shared" si="53"/>
        <v>24845.205572519088</v>
      </c>
      <c r="AJ200" s="20">
        <f t="shared" si="64"/>
        <v>10199.832595419852</v>
      </c>
      <c r="AK200" s="47">
        <f t="shared" si="54"/>
        <v>1.3232323232323231</v>
      </c>
    </row>
    <row r="201" spans="1:37" x14ac:dyDescent="0.25">
      <c r="A201" s="8" t="s">
        <v>36</v>
      </c>
      <c r="C201" s="8" t="s">
        <v>224</v>
      </c>
      <c r="D201" s="8">
        <v>2</v>
      </c>
      <c r="G201" s="8">
        <f t="shared" si="55"/>
        <v>2</v>
      </c>
      <c r="K201" s="8">
        <f t="shared" si="56"/>
        <v>0</v>
      </c>
      <c r="L201" s="8">
        <v>0</v>
      </c>
      <c r="M201" s="8">
        <v>0</v>
      </c>
      <c r="N201" s="8">
        <v>0</v>
      </c>
      <c r="O201" s="8">
        <f t="shared" si="57"/>
        <v>0</v>
      </c>
      <c r="P201" s="31">
        <v>1.5</v>
      </c>
      <c r="Q201" s="31">
        <v>1.25</v>
      </c>
      <c r="R201" s="66">
        <f>IF(A201='Свод по районам'!$A$24,'Свод по районам'!$G$24,0)</f>
        <v>1.5284297052154194</v>
      </c>
      <c r="S201" s="76">
        <f>ROUND(((D201*$K$7+E201*$K$8+F201*$K$9)+(H201*$AA$7+I201*$AA$8+J201*$AA$9)+(L201*'по детям'!$K$10*0.2+M201*'по детям'!$K$11*0.2+N201*'по детям'!$K$12*0.2))*P201*Q201/1.302/12,1)</f>
        <v>96.3</v>
      </c>
      <c r="T201" s="12">
        <f t="shared" si="58"/>
        <v>108.33750000000001</v>
      </c>
      <c r="U201" s="11">
        <v>153.114</v>
      </c>
      <c r="V201" s="12">
        <f t="shared" si="59"/>
        <v>-56.814000000000007</v>
      </c>
      <c r="W201" s="12">
        <f t="shared" si="46"/>
        <v>0</v>
      </c>
      <c r="X201" s="12">
        <f t="shared" si="47"/>
        <v>-56.814000000000007</v>
      </c>
      <c r="Y201" s="20">
        <f t="shared" si="60"/>
        <v>-44.776499999999999</v>
      </c>
      <c r="Z201" s="12">
        <f t="shared" si="61"/>
        <v>0</v>
      </c>
      <c r="AA201" s="12">
        <f t="shared" si="62"/>
        <v>-44.776499999999999</v>
      </c>
      <c r="AB201" s="8">
        <v>3</v>
      </c>
      <c r="AC201" s="20">
        <f t="shared" si="48"/>
        <v>32100</v>
      </c>
      <c r="AD201" s="20">
        <f t="shared" si="63"/>
        <v>36112.500000000007</v>
      </c>
      <c r="AE201" s="20">
        <f t="shared" si="49"/>
        <v>51038.000000000007</v>
      </c>
      <c r="AF201" s="21">
        <f t="shared" si="50"/>
        <v>-18938.000000000007</v>
      </c>
      <c r="AG201" s="23">
        <f t="shared" si="51"/>
        <v>2.6666666666666665</v>
      </c>
      <c r="AH201" s="20">
        <f t="shared" si="52"/>
        <v>36112.500000000007</v>
      </c>
      <c r="AI201" s="20">
        <f t="shared" si="53"/>
        <v>57417.750000000007</v>
      </c>
      <c r="AJ201" s="20">
        <f t="shared" si="64"/>
        <v>-21305.25</v>
      </c>
      <c r="AK201" s="47">
        <f t="shared" si="54"/>
        <v>0.88888888888888884</v>
      </c>
    </row>
    <row r="202" spans="1:37" x14ac:dyDescent="0.25">
      <c r="A202" s="8" t="s">
        <v>36</v>
      </c>
      <c r="C202" s="8" t="s">
        <v>225</v>
      </c>
      <c r="D202" s="8">
        <v>2</v>
      </c>
      <c r="E202" s="8">
        <v>4</v>
      </c>
      <c r="G202" s="8">
        <f t="shared" si="55"/>
        <v>6</v>
      </c>
      <c r="H202" s="8">
        <v>1</v>
      </c>
      <c r="K202" s="8">
        <f t="shared" si="56"/>
        <v>1</v>
      </c>
      <c r="L202" s="8">
        <v>1</v>
      </c>
      <c r="M202" s="8">
        <v>0</v>
      </c>
      <c r="N202" s="8">
        <v>0</v>
      </c>
      <c r="O202" s="8">
        <f t="shared" si="57"/>
        <v>1</v>
      </c>
      <c r="P202" s="31">
        <v>1.5</v>
      </c>
      <c r="Q202" s="31">
        <v>1.25</v>
      </c>
      <c r="R202" s="66">
        <f>IF(A202='Свод по районам'!$A$24,'Свод по районам'!$G$24,0)</f>
        <v>1.5284297052154194</v>
      </c>
      <c r="S202" s="76">
        <f>ROUND(((D202*$K$7+E202*$K$8+F202*$K$9)+(H202*$AA$7+I202*$AA$8+J202*$AA$9)+(L202*'по детям'!$K$10*0.2+M202*'по детям'!$K$11*0.2+N202*'по детям'!$K$12*0.2))*P202*Q202/1.302/12,1)</f>
        <v>370.1</v>
      </c>
      <c r="T202" s="12">
        <f t="shared" si="58"/>
        <v>177.17553191489361</v>
      </c>
      <c r="U202" s="11">
        <v>218.93199999999999</v>
      </c>
      <c r="V202" s="12">
        <f t="shared" si="59"/>
        <v>151.16800000000003</v>
      </c>
      <c r="W202" s="12">
        <f t="shared" si="46"/>
        <v>151.16800000000003</v>
      </c>
      <c r="X202" s="12">
        <f t="shared" si="47"/>
        <v>0</v>
      </c>
      <c r="Y202" s="20">
        <f t="shared" si="60"/>
        <v>-41.756468085106377</v>
      </c>
      <c r="Z202" s="12">
        <f t="shared" si="61"/>
        <v>0</v>
      </c>
      <c r="AA202" s="12">
        <f t="shared" si="62"/>
        <v>-41.756468085106377</v>
      </c>
      <c r="AB202" s="8">
        <v>5</v>
      </c>
      <c r="AC202" s="20">
        <f t="shared" si="48"/>
        <v>74020.000000000015</v>
      </c>
      <c r="AD202" s="20">
        <f t="shared" si="63"/>
        <v>35435.106382978724</v>
      </c>
      <c r="AE202" s="20">
        <f t="shared" si="49"/>
        <v>43786.400000000001</v>
      </c>
      <c r="AF202" s="21">
        <f t="shared" si="50"/>
        <v>30233.600000000013</v>
      </c>
      <c r="AG202" s="23">
        <f t="shared" si="51"/>
        <v>10.444444444444445</v>
      </c>
      <c r="AH202" s="20">
        <f t="shared" si="52"/>
        <v>35435.106382978724</v>
      </c>
      <c r="AI202" s="20">
        <f t="shared" si="53"/>
        <v>20961.574468085102</v>
      </c>
      <c r="AJ202" s="20">
        <f t="shared" si="64"/>
        <v>14473.531914893621</v>
      </c>
      <c r="AK202" s="47">
        <f t="shared" si="54"/>
        <v>2.088888888888889</v>
      </c>
    </row>
    <row r="203" spans="1:37" x14ac:dyDescent="0.25">
      <c r="A203" s="8" t="s">
        <v>36</v>
      </c>
      <c r="C203" s="8" t="s">
        <v>226</v>
      </c>
      <c r="D203" s="8">
        <v>2</v>
      </c>
      <c r="G203" s="8">
        <f t="shared" si="55"/>
        <v>2</v>
      </c>
      <c r="H203" s="8">
        <v>2</v>
      </c>
      <c r="K203" s="8">
        <f t="shared" si="56"/>
        <v>2</v>
      </c>
      <c r="L203" s="8">
        <v>3</v>
      </c>
      <c r="M203" s="8">
        <v>0</v>
      </c>
      <c r="N203" s="8">
        <v>0</v>
      </c>
      <c r="O203" s="8">
        <f t="shared" si="57"/>
        <v>3</v>
      </c>
      <c r="P203" s="31">
        <v>1.5</v>
      </c>
      <c r="Q203" s="31">
        <v>1.25</v>
      </c>
      <c r="R203" s="66">
        <f>IF(A203='Свод по районам'!$A$24,'Свод по районам'!$G$24,0)</f>
        <v>1.5284297052154194</v>
      </c>
      <c r="S203" s="76">
        <f>ROUND(((D203*$K$7+E203*$K$8+F203*$K$9)+(H203*$AA$7+I203*$AA$8+J203*$AA$9)+(L203*'по детям'!$K$10*0.2+M203*'по детям'!$K$11*0.2+N203*'по детям'!$K$12*0.2))*P203*Q203/1.302/12,1)</f>
        <v>121.1</v>
      </c>
      <c r="T203" s="12">
        <f t="shared" si="58"/>
        <v>68.118750000000006</v>
      </c>
      <c r="U203" s="11">
        <v>104</v>
      </c>
      <c r="V203" s="12">
        <f t="shared" si="59"/>
        <v>17.099999999999994</v>
      </c>
      <c r="W203" s="12">
        <f t="shared" si="46"/>
        <v>17.099999999999994</v>
      </c>
      <c r="X203" s="12">
        <f t="shared" si="47"/>
        <v>0</v>
      </c>
      <c r="Y203" s="20">
        <f t="shared" si="60"/>
        <v>-35.881249999999994</v>
      </c>
      <c r="Z203" s="12">
        <f t="shared" si="61"/>
        <v>0</v>
      </c>
      <c r="AA203" s="12">
        <f t="shared" si="62"/>
        <v>-35.881249999999994</v>
      </c>
      <c r="AB203" s="20">
        <v>2</v>
      </c>
      <c r="AC203" s="20">
        <f t="shared" si="48"/>
        <v>60550</v>
      </c>
      <c r="AD203" s="20">
        <f t="shared" si="63"/>
        <v>34059.375</v>
      </c>
      <c r="AE203" s="20">
        <f t="shared" si="49"/>
        <v>52000</v>
      </c>
      <c r="AF203" s="21">
        <f t="shared" si="50"/>
        <v>8550</v>
      </c>
      <c r="AG203" s="23">
        <f t="shared" si="51"/>
        <v>3.5555555555555554</v>
      </c>
      <c r="AH203" s="20">
        <f t="shared" si="52"/>
        <v>34059.375</v>
      </c>
      <c r="AI203" s="20">
        <f t="shared" si="53"/>
        <v>29250</v>
      </c>
      <c r="AJ203" s="20">
        <f t="shared" si="64"/>
        <v>4809.375</v>
      </c>
      <c r="AK203" s="47">
        <f t="shared" si="54"/>
        <v>1.7777777777777777</v>
      </c>
    </row>
    <row r="204" spans="1:37" x14ac:dyDescent="0.25">
      <c r="A204" s="8" t="s">
        <v>36</v>
      </c>
      <c r="B204" s="8" t="s">
        <v>263</v>
      </c>
      <c r="C204" s="8" t="s">
        <v>227</v>
      </c>
      <c r="D204" s="8">
        <v>2</v>
      </c>
      <c r="E204" s="8">
        <v>2</v>
      </c>
      <c r="G204" s="8">
        <f t="shared" si="55"/>
        <v>4</v>
      </c>
      <c r="H204" s="8">
        <v>2</v>
      </c>
      <c r="K204" s="8">
        <f t="shared" si="56"/>
        <v>2</v>
      </c>
      <c r="L204" s="8">
        <v>2</v>
      </c>
      <c r="M204" s="8">
        <v>1</v>
      </c>
      <c r="N204" s="8">
        <v>0</v>
      </c>
      <c r="O204" s="8">
        <f t="shared" si="57"/>
        <v>3</v>
      </c>
      <c r="P204" s="31">
        <v>1.5</v>
      </c>
      <c r="Q204" s="31">
        <v>1.25</v>
      </c>
      <c r="R204" s="66">
        <f>IF(A204='Свод по районам'!$A$24,'Свод по районам'!$G$24,0)</f>
        <v>1.5284297052154194</v>
      </c>
      <c r="S204" s="76">
        <f>ROUND(((D204*$K$7+E204*$K$8+F204*$K$9)+(H204*$AA$7+I204*$AA$8+J204*$AA$9)+(L204*'по детям'!$K$10*0.2+M204*'по детям'!$K$11*0.2+N204*'по детям'!$K$12*0.2))*P204*Q204/1.302/12,1)</f>
        <v>252.1</v>
      </c>
      <c r="T204" s="12">
        <f t="shared" si="58"/>
        <v>174.53076923076927</v>
      </c>
      <c r="U204" s="11">
        <v>234.583</v>
      </c>
      <c r="V204" s="12">
        <f t="shared" si="59"/>
        <v>17.516999999999996</v>
      </c>
      <c r="W204" s="12">
        <f t="shared" si="46"/>
        <v>17.516999999999996</v>
      </c>
      <c r="X204" s="12">
        <f t="shared" si="47"/>
        <v>0</v>
      </c>
      <c r="Y204" s="20">
        <f t="shared" si="60"/>
        <v>-60.052230769230732</v>
      </c>
      <c r="Z204" s="12">
        <f t="shared" si="61"/>
        <v>0</v>
      </c>
      <c r="AA204" s="12">
        <f t="shared" si="62"/>
        <v>-60.052230769230732</v>
      </c>
      <c r="AB204" s="8">
        <v>5</v>
      </c>
      <c r="AC204" s="20">
        <f t="shared" si="48"/>
        <v>50420</v>
      </c>
      <c r="AD204" s="20">
        <f t="shared" si="63"/>
        <v>34906.153846153858</v>
      </c>
      <c r="AE204" s="20">
        <f t="shared" si="49"/>
        <v>46916.600000000006</v>
      </c>
      <c r="AF204" s="21">
        <f t="shared" si="50"/>
        <v>3503.3999999999942</v>
      </c>
      <c r="AG204" s="23">
        <f t="shared" si="51"/>
        <v>7.2222222222222214</v>
      </c>
      <c r="AH204" s="20">
        <f t="shared" si="52"/>
        <v>34906.153846153851</v>
      </c>
      <c r="AI204" s="20">
        <f t="shared" si="53"/>
        <v>32480.723076923077</v>
      </c>
      <c r="AJ204" s="20">
        <f t="shared" si="64"/>
        <v>2425.4307692307739</v>
      </c>
      <c r="AK204" s="47">
        <f t="shared" si="54"/>
        <v>1.4444444444444442</v>
      </c>
    </row>
    <row r="205" spans="1:37" x14ac:dyDescent="0.25">
      <c r="A205" s="8" t="s">
        <v>36</v>
      </c>
      <c r="B205" s="8" t="s">
        <v>263</v>
      </c>
      <c r="C205" s="8" t="s">
        <v>228</v>
      </c>
      <c r="D205" s="8">
        <v>2</v>
      </c>
      <c r="E205" s="8">
        <v>4</v>
      </c>
      <c r="G205" s="8">
        <f t="shared" si="55"/>
        <v>6</v>
      </c>
      <c r="K205" s="8">
        <f t="shared" si="56"/>
        <v>0</v>
      </c>
      <c r="L205" s="8">
        <v>1</v>
      </c>
      <c r="M205" s="8">
        <v>1</v>
      </c>
      <c r="N205" s="8">
        <v>0</v>
      </c>
      <c r="O205" s="8">
        <f t="shared" si="57"/>
        <v>2</v>
      </c>
      <c r="P205" s="31">
        <v>1.5</v>
      </c>
      <c r="Q205" s="31">
        <v>1.25</v>
      </c>
      <c r="R205" s="66">
        <f>IF(A205='Свод по районам'!$A$24,'Свод по районам'!$G$24,0)</f>
        <v>1.5284297052154194</v>
      </c>
      <c r="S205" s="76">
        <f>ROUND(((D205*$K$7+E205*$K$8+F205*$K$9)+(H205*$AA$7+I205*$AA$8+J205*$AA$9)+(L205*'по детям'!$K$10*0.2+M205*'по детям'!$K$11*0.2+N205*'по детям'!$K$12*0.2))*P205*Q205/1.302/12,1)</f>
        <v>359.1</v>
      </c>
      <c r="T205" s="12">
        <f t="shared" si="58"/>
        <v>215.46</v>
      </c>
      <c r="U205" s="11">
        <v>174.767</v>
      </c>
      <c r="V205" s="12">
        <f t="shared" si="59"/>
        <v>184.33300000000003</v>
      </c>
      <c r="W205" s="12">
        <f t="shared" si="46"/>
        <v>184.33300000000003</v>
      </c>
      <c r="X205" s="12">
        <f t="shared" si="47"/>
        <v>0</v>
      </c>
      <c r="Y205" s="20">
        <f t="shared" si="60"/>
        <v>40.693000000000012</v>
      </c>
      <c r="Z205" s="12">
        <f t="shared" si="61"/>
        <v>40.693000000000012</v>
      </c>
      <c r="AA205" s="12">
        <f t="shared" si="62"/>
        <v>0</v>
      </c>
      <c r="AB205" s="8">
        <v>6</v>
      </c>
      <c r="AC205" s="20">
        <f t="shared" si="48"/>
        <v>59850</v>
      </c>
      <c r="AD205" s="20">
        <f t="shared" si="63"/>
        <v>35910.000000000007</v>
      </c>
      <c r="AE205" s="20">
        <f t="shared" si="49"/>
        <v>29127.833333333332</v>
      </c>
      <c r="AF205" s="21">
        <f t="shared" si="50"/>
        <v>30722.166666666668</v>
      </c>
      <c r="AG205" s="23">
        <f t="shared" si="51"/>
        <v>10</v>
      </c>
      <c r="AH205" s="20">
        <f t="shared" si="52"/>
        <v>35910.000000000007</v>
      </c>
      <c r="AI205" s="20">
        <f t="shared" si="53"/>
        <v>17476.7</v>
      </c>
      <c r="AJ205" s="20">
        <f t="shared" si="64"/>
        <v>18433.300000000007</v>
      </c>
      <c r="AK205" s="47">
        <f t="shared" si="54"/>
        <v>1.6666666666666667</v>
      </c>
    </row>
    <row r="206" spans="1:37" x14ac:dyDescent="0.25">
      <c r="A206" s="8" t="s">
        <v>36</v>
      </c>
      <c r="C206" s="8" t="s">
        <v>229</v>
      </c>
      <c r="D206" s="8">
        <v>4</v>
      </c>
      <c r="E206" s="8">
        <v>5</v>
      </c>
      <c r="F206" s="8">
        <v>1</v>
      </c>
      <c r="G206" s="8">
        <f t="shared" si="55"/>
        <v>10</v>
      </c>
      <c r="I206" s="8">
        <v>1</v>
      </c>
      <c r="K206" s="8">
        <f t="shared" si="56"/>
        <v>1</v>
      </c>
      <c r="L206" s="8">
        <v>1</v>
      </c>
      <c r="M206" s="8">
        <v>3</v>
      </c>
      <c r="N206" s="8">
        <v>0</v>
      </c>
      <c r="O206" s="8">
        <f t="shared" si="57"/>
        <v>4</v>
      </c>
      <c r="P206" s="31">
        <v>1.5</v>
      </c>
      <c r="Q206" s="31">
        <v>1.25</v>
      </c>
      <c r="R206" s="66">
        <f>IF(A206='Свод по районам'!$A$24,'Свод по районам'!$G$24,0)</f>
        <v>1.5284297052154194</v>
      </c>
      <c r="S206" s="76">
        <f>ROUND(((D206*$K$7+E206*$K$8+F206*$K$9)+(H206*$AA$7+I206*$AA$8+J206*$AA$9)+(L206*'по детям'!$K$10*0.2+M206*'по детям'!$K$11*0.2+N206*'по детям'!$K$12*0.2))*P206*Q206/1.302/12,1)</f>
        <v>609.29999999999995</v>
      </c>
      <c r="T206" s="12">
        <f t="shared" si="58"/>
        <v>391.69285714285712</v>
      </c>
      <c r="U206" s="11">
        <v>276.983</v>
      </c>
      <c r="V206" s="12">
        <f t="shared" si="59"/>
        <v>332.31699999999995</v>
      </c>
      <c r="W206" s="12">
        <f t="shared" si="46"/>
        <v>332.31699999999995</v>
      </c>
      <c r="X206" s="12">
        <f t="shared" si="47"/>
        <v>0</v>
      </c>
      <c r="Y206" s="20">
        <f t="shared" si="60"/>
        <v>114.70985714285712</v>
      </c>
      <c r="Z206" s="12">
        <f t="shared" si="61"/>
        <v>114.70985714285712</v>
      </c>
      <c r="AA206" s="12">
        <f t="shared" si="62"/>
        <v>0</v>
      </c>
      <c r="AB206" s="8">
        <v>11</v>
      </c>
      <c r="AC206" s="20">
        <f t="shared" si="48"/>
        <v>55390.909090909081</v>
      </c>
      <c r="AD206" s="20">
        <f t="shared" si="63"/>
        <v>35608.441558441555</v>
      </c>
      <c r="AE206" s="20">
        <f t="shared" si="49"/>
        <v>25180.272727272724</v>
      </c>
      <c r="AF206" s="21">
        <f t="shared" si="50"/>
        <v>30210.636363636357</v>
      </c>
      <c r="AG206" s="23">
        <f t="shared" si="51"/>
        <v>17.111111111111111</v>
      </c>
      <c r="AH206" s="20">
        <f t="shared" si="52"/>
        <v>35608.441558441555</v>
      </c>
      <c r="AI206" s="20">
        <f t="shared" si="53"/>
        <v>16187.318181818182</v>
      </c>
      <c r="AJ206" s="20">
        <f t="shared" si="64"/>
        <v>19421.123376623371</v>
      </c>
      <c r="AK206" s="47">
        <f t="shared" si="54"/>
        <v>1.5555555555555556</v>
      </c>
    </row>
    <row r="207" spans="1:37" x14ac:dyDescent="0.25">
      <c r="A207" s="8" t="s">
        <v>36</v>
      </c>
      <c r="C207" s="8" t="s">
        <v>230</v>
      </c>
      <c r="D207" s="8">
        <v>3</v>
      </c>
      <c r="E207" s="8">
        <v>5</v>
      </c>
      <c r="G207" s="8">
        <f t="shared" si="55"/>
        <v>8</v>
      </c>
      <c r="K207" s="8">
        <f t="shared" si="56"/>
        <v>0</v>
      </c>
      <c r="L207" s="8">
        <v>1</v>
      </c>
      <c r="M207" s="8">
        <v>1</v>
      </c>
      <c r="N207" s="8">
        <v>0</v>
      </c>
      <c r="O207" s="8">
        <f t="shared" si="57"/>
        <v>2</v>
      </c>
      <c r="P207" s="31">
        <v>1.5</v>
      </c>
      <c r="Q207" s="31">
        <v>1.25</v>
      </c>
      <c r="R207" s="66">
        <f>IF(A207='Свод по районам'!$A$24,'Свод по районам'!$G$24,0)</f>
        <v>1.5284297052154194</v>
      </c>
      <c r="S207" s="76">
        <f>ROUND(((D207*$K$7+E207*$K$8+F207*$K$9)+(H207*$AA$7+I207*$AA$8+J207*$AA$9)+(L207*'по детям'!$K$10*0.2+M207*'по детям'!$K$11*0.2+N207*'по детям'!$K$12*0.2))*P207*Q207/1.302/12,1)</f>
        <v>472.6</v>
      </c>
      <c r="T207" s="12">
        <f t="shared" si="58"/>
        <v>215.36202531645574</v>
      </c>
      <c r="U207" s="11">
        <v>261.60699999999997</v>
      </c>
      <c r="V207" s="12">
        <f t="shared" si="59"/>
        <v>210.99300000000005</v>
      </c>
      <c r="W207" s="12">
        <f t="shared" si="46"/>
        <v>210.99300000000005</v>
      </c>
      <c r="X207" s="12">
        <f t="shared" si="47"/>
        <v>0</v>
      </c>
      <c r="Y207" s="20">
        <f t="shared" si="60"/>
        <v>-46.244974683544228</v>
      </c>
      <c r="Z207" s="12">
        <f t="shared" si="61"/>
        <v>0</v>
      </c>
      <c r="AA207" s="12">
        <f t="shared" si="62"/>
        <v>-46.244974683544228</v>
      </c>
      <c r="AB207" s="8">
        <v>6</v>
      </c>
      <c r="AC207" s="20">
        <f t="shared" si="48"/>
        <v>78766.666666666672</v>
      </c>
      <c r="AD207" s="20">
        <f t="shared" si="63"/>
        <v>35893.670886075961</v>
      </c>
      <c r="AE207" s="20">
        <f t="shared" si="49"/>
        <v>43601.166666666664</v>
      </c>
      <c r="AF207" s="21">
        <f t="shared" si="50"/>
        <v>35165.500000000007</v>
      </c>
      <c r="AG207" s="23">
        <f t="shared" si="51"/>
        <v>13.166666666666666</v>
      </c>
      <c r="AH207" s="20">
        <f t="shared" si="52"/>
        <v>35893.670886075954</v>
      </c>
      <c r="AI207" s="20">
        <f t="shared" si="53"/>
        <v>19868.886075949365</v>
      </c>
      <c r="AJ207" s="20">
        <f t="shared" si="64"/>
        <v>16024.784810126588</v>
      </c>
      <c r="AK207" s="47">
        <f t="shared" si="54"/>
        <v>2.1944444444444442</v>
      </c>
    </row>
    <row r="208" spans="1:37" x14ac:dyDescent="0.25">
      <c r="A208" s="8" t="s">
        <v>36</v>
      </c>
      <c r="C208" s="8" t="s">
        <v>231</v>
      </c>
      <c r="D208" s="8">
        <v>4</v>
      </c>
      <c r="E208" s="8">
        <v>5</v>
      </c>
      <c r="F208" s="8">
        <v>2</v>
      </c>
      <c r="G208" s="8">
        <f t="shared" si="55"/>
        <v>11</v>
      </c>
      <c r="K208" s="8">
        <f t="shared" si="56"/>
        <v>0</v>
      </c>
      <c r="L208" s="8">
        <v>2</v>
      </c>
      <c r="M208" s="8">
        <v>0</v>
      </c>
      <c r="N208" s="8">
        <v>0</v>
      </c>
      <c r="O208" s="8">
        <f t="shared" si="57"/>
        <v>2</v>
      </c>
      <c r="P208" s="31">
        <v>1.5</v>
      </c>
      <c r="Q208" s="31">
        <v>1.25</v>
      </c>
      <c r="R208" s="66">
        <f>IF(A208='Свод по районам'!$A$24,'Свод по районам'!$G$24,0)</f>
        <v>1.5284297052154194</v>
      </c>
      <c r="S208" s="76">
        <f>ROUND(((D208*$K$7+E208*$K$8+F208*$K$9)+(H208*$AA$7+I208*$AA$8+J208*$AA$9)+(L208*'по детям'!$K$10*0.2+M208*'по детям'!$K$11*0.2+N208*'по детям'!$K$12*0.2))*P208*Q208/1.302/12,1)</f>
        <v>663.3</v>
      </c>
      <c r="T208" s="12">
        <f t="shared" si="58"/>
        <v>430.24864864864861</v>
      </c>
      <c r="U208" s="11">
        <v>341.036</v>
      </c>
      <c r="V208" s="12">
        <f t="shared" si="59"/>
        <v>322.26399999999995</v>
      </c>
      <c r="W208" s="12">
        <f t="shared" ref="W208:W237" si="70">IF(V208&gt;0,V208,0)</f>
        <v>322.26399999999995</v>
      </c>
      <c r="X208" s="12">
        <f t="shared" ref="X208:X237" si="71">IF(V208&lt;0,V208,0)</f>
        <v>0</v>
      </c>
      <c r="Y208" s="20">
        <f t="shared" si="60"/>
        <v>89.21264864864861</v>
      </c>
      <c r="Z208" s="12">
        <f t="shared" si="61"/>
        <v>89.21264864864861</v>
      </c>
      <c r="AA208" s="12">
        <f t="shared" si="62"/>
        <v>0</v>
      </c>
      <c r="AB208" s="8">
        <v>12</v>
      </c>
      <c r="AC208" s="20">
        <f t="shared" ref="AC208:AC238" si="72">S208/AB208*1000</f>
        <v>55275</v>
      </c>
      <c r="AD208" s="20">
        <f t="shared" si="63"/>
        <v>35854.054054054053</v>
      </c>
      <c r="AE208" s="20">
        <f t="shared" ref="AE208:AE238" si="73">U208/AB208*1000</f>
        <v>28419.666666666668</v>
      </c>
      <c r="AF208" s="21">
        <f t="shared" ref="AF208:AF238" si="74">AC208-AE208</f>
        <v>26855.333333333332</v>
      </c>
      <c r="AG208" s="23">
        <f t="shared" ref="AG208:AG237" si="75">(D208*$F$7+E208*$F$8+F208*$F$9)+(H208*$V$7+I208*$V$8+J208*$V$9)</f>
        <v>18.5</v>
      </c>
      <c r="AH208" s="20">
        <f t="shared" ref="AH208:AH237" si="76">S208/AG208*1000</f>
        <v>35854.054054054053</v>
      </c>
      <c r="AI208" s="20">
        <f t="shared" ref="AI208:AI238" si="77">U208/AG208*1000</f>
        <v>18434.37837837838</v>
      </c>
      <c r="AJ208" s="20">
        <f t="shared" si="64"/>
        <v>17419.675675675673</v>
      </c>
      <c r="AK208" s="47">
        <f t="shared" ref="AK208:AK238" si="78">AG208/AB208</f>
        <v>1.5416666666666667</v>
      </c>
    </row>
    <row r="209" spans="1:37" x14ac:dyDescent="0.25">
      <c r="A209" s="8" t="s">
        <v>36</v>
      </c>
      <c r="B209" s="8" t="s">
        <v>263</v>
      </c>
      <c r="C209" s="8" t="s">
        <v>232</v>
      </c>
      <c r="D209" s="8">
        <v>2</v>
      </c>
      <c r="E209" s="8">
        <v>3</v>
      </c>
      <c r="G209" s="8">
        <f t="shared" ref="G209:G237" si="79">SUM(D209:F209)</f>
        <v>5</v>
      </c>
      <c r="H209" s="8">
        <v>1</v>
      </c>
      <c r="K209" s="8">
        <f t="shared" ref="K209:K237" si="80">H209+I209+J209</f>
        <v>1</v>
      </c>
      <c r="L209" s="8">
        <v>0</v>
      </c>
      <c r="M209" s="8">
        <v>0</v>
      </c>
      <c r="N209" s="8">
        <v>0</v>
      </c>
      <c r="O209" s="8">
        <f t="shared" ref="O209:O237" si="81">L209+M209+N209</f>
        <v>0</v>
      </c>
      <c r="P209" s="31">
        <v>1.5</v>
      </c>
      <c r="Q209" s="31">
        <v>1.25</v>
      </c>
      <c r="R209" s="66">
        <f>IF(A209='Свод по районам'!$A$24,'Свод по районам'!$G$24,0)</f>
        <v>1.5284297052154194</v>
      </c>
      <c r="S209" s="76">
        <f>ROUND(((D209*$K$7+E209*$K$8+F209*$K$9)+(H209*$AA$7+I209*$AA$8+J209*$AA$9)+(L209*'по детям'!$K$10*0.2+M209*'по детям'!$K$11*0.2+N209*'по детям'!$K$12*0.2))*P209*Q209/1.302/12,1)</f>
        <v>304.3</v>
      </c>
      <c r="T209" s="12">
        <f t="shared" ref="T209:T237" si="82">S209/AK209</f>
        <v>212.02838709677422</v>
      </c>
      <c r="U209" s="11">
        <v>206.13200000000001</v>
      </c>
      <c r="V209" s="12">
        <f t="shared" ref="V209:V237" si="83">S209-U209</f>
        <v>98.168000000000006</v>
      </c>
      <c r="W209" s="12">
        <f t="shared" si="70"/>
        <v>98.168000000000006</v>
      </c>
      <c r="X209" s="12">
        <f t="shared" si="71"/>
        <v>0</v>
      </c>
      <c r="Y209" s="20">
        <f t="shared" ref="Y209:Y237" si="84">T209-U209</f>
        <v>5.8963870967742196</v>
      </c>
      <c r="Z209" s="12">
        <f t="shared" ref="Z209:Z237" si="85">IF(Y209&gt;0,Y209,0)</f>
        <v>5.8963870967742196</v>
      </c>
      <c r="AA209" s="12">
        <f t="shared" ref="AA209:AA237" si="86">IF(Y209&lt;0,Y209,0)</f>
        <v>0</v>
      </c>
      <c r="AB209" s="8">
        <v>6</v>
      </c>
      <c r="AC209" s="20">
        <f t="shared" si="72"/>
        <v>50716.666666666672</v>
      </c>
      <c r="AD209" s="20">
        <f t="shared" ref="AD209:AD238" si="87">T209/AB209*1000</f>
        <v>35338.064516129038</v>
      </c>
      <c r="AE209" s="20">
        <f t="shared" si="73"/>
        <v>34355.333333333336</v>
      </c>
      <c r="AF209" s="21">
        <f t="shared" si="74"/>
        <v>16361.333333333336</v>
      </c>
      <c r="AG209" s="23">
        <f t="shared" si="75"/>
        <v>8.6111111111111107</v>
      </c>
      <c r="AH209" s="20">
        <f t="shared" si="76"/>
        <v>35338.064516129038</v>
      </c>
      <c r="AI209" s="20">
        <f t="shared" si="77"/>
        <v>23937.909677419357</v>
      </c>
      <c r="AJ209" s="20">
        <f t="shared" ref="AJ209:AJ238" si="88">AH209-AI209</f>
        <v>11400.154838709681</v>
      </c>
      <c r="AK209" s="47">
        <f t="shared" si="78"/>
        <v>1.4351851851851851</v>
      </c>
    </row>
    <row r="210" spans="1:37" x14ac:dyDescent="0.25">
      <c r="A210" s="8" t="s">
        <v>37</v>
      </c>
      <c r="C210" s="8" t="s">
        <v>233</v>
      </c>
      <c r="D210" s="8">
        <v>3</v>
      </c>
      <c r="G210" s="8">
        <f t="shared" si="79"/>
        <v>3</v>
      </c>
      <c r="K210" s="8">
        <f t="shared" si="80"/>
        <v>0</v>
      </c>
      <c r="L210" s="8">
        <v>0</v>
      </c>
      <c r="M210" s="8">
        <v>0</v>
      </c>
      <c r="N210" s="8">
        <v>0</v>
      </c>
      <c r="O210" s="8">
        <f t="shared" si="81"/>
        <v>0</v>
      </c>
      <c r="P210" s="31">
        <v>1.5</v>
      </c>
      <c r="Q210" s="31">
        <v>1.25</v>
      </c>
      <c r="R210" s="66">
        <f>IF(A210='Свод по районам'!$A$25,'Свод по районам'!$G$25,0)</f>
        <v>1.9115891989723128</v>
      </c>
      <c r="S210" s="76">
        <f>ROUND(((D210*$K$7+E210*$K$8+F210*$K$9)+(H210*$AA$7+I210*$AA$8+J210*$AA$9)+(L210*'по детям'!$K$10*0.2+M210*'по детям'!$K$11*0.2+N210*'по детям'!$K$12*0.2))*P210*Q210/1.302/12,1)</f>
        <v>144.5</v>
      </c>
      <c r="T210" s="12">
        <f t="shared" si="82"/>
        <v>65.024999999999991</v>
      </c>
      <c r="U210" s="11">
        <v>77.903999999999996</v>
      </c>
      <c r="V210" s="12">
        <f t="shared" si="83"/>
        <v>66.596000000000004</v>
      </c>
      <c r="W210" s="12">
        <f t="shared" si="70"/>
        <v>66.596000000000004</v>
      </c>
      <c r="X210" s="12">
        <f t="shared" si="71"/>
        <v>0</v>
      </c>
      <c r="Y210" s="20">
        <f t="shared" si="84"/>
        <v>-12.879000000000005</v>
      </c>
      <c r="Z210" s="12">
        <f t="shared" si="85"/>
        <v>0</v>
      </c>
      <c r="AA210" s="12">
        <f t="shared" si="86"/>
        <v>-12.879000000000005</v>
      </c>
      <c r="AB210" s="8">
        <v>1.8</v>
      </c>
      <c r="AC210" s="20">
        <f t="shared" si="72"/>
        <v>80277.777777777766</v>
      </c>
      <c r="AD210" s="20">
        <f t="shared" si="87"/>
        <v>36124.999999999993</v>
      </c>
      <c r="AE210" s="20">
        <f t="shared" si="73"/>
        <v>43279.999999999993</v>
      </c>
      <c r="AF210" s="21">
        <f t="shared" si="74"/>
        <v>36997.777777777774</v>
      </c>
      <c r="AG210" s="23">
        <f t="shared" si="75"/>
        <v>4</v>
      </c>
      <c r="AH210" s="20">
        <f t="shared" si="76"/>
        <v>36125</v>
      </c>
      <c r="AI210" s="20">
        <f t="shared" si="77"/>
        <v>19476</v>
      </c>
      <c r="AJ210" s="20">
        <f t="shared" si="88"/>
        <v>16649</v>
      </c>
      <c r="AK210" s="47">
        <f t="shared" si="78"/>
        <v>2.2222222222222223</v>
      </c>
    </row>
    <row r="211" spans="1:37" x14ac:dyDescent="0.25">
      <c r="A211" s="8" t="s">
        <v>37</v>
      </c>
      <c r="B211" s="8" t="s">
        <v>263</v>
      </c>
      <c r="C211" s="8" t="s">
        <v>234</v>
      </c>
      <c r="D211" s="8">
        <v>1</v>
      </c>
      <c r="G211" s="8">
        <f t="shared" si="79"/>
        <v>1</v>
      </c>
      <c r="K211" s="8">
        <f t="shared" si="80"/>
        <v>0</v>
      </c>
      <c r="L211" s="8">
        <v>0</v>
      </c>
      <c r="M211" s="8">
        <v>0</v>
      </c>
      <c r="N211" s="8">
        <v>0</v>
      </c>
      <c r="O211" s="8">
        <f t="shared" si="81"/>
        <v>0</v>
      </c>
      <c r="P211" s="31">
        <v>1.5</v>
      </c>
      <c r="Q211" s="31">
        <v>1.25</v>
      </c>
      <c r="R211" s="66">
        <f>IF(A211='Свод по районам'!$A$25,'Свод по районам'!$G$25,0)</f>
        <v>1.9115891989723128</v>
      </c>
      <c r="S211" s="76">
        <f>ROUND(((D211*$K$7+E211*$K$8+F211*$K$9)+(H211*$AA$7+I211*$AA$8+J211*$AA$9)+(L211*'по детям'!$K$10*0.2+M211*'по детям'!$K$11*0.2+N211*'по детям'!$K$12*0.2))*P211*Q211/1.302/12,1)</f>
        <v>48.2</v>
      </c>
      <c r="T211" s="12">
        <f t="shared" si="82"/>
        <v>25.305</v>
      </c>
      <c r="U211" s="11">
        <v>35.190000000000005</v>
      </c>
      <c r="V211" s="12">
        <f t="shared" si="83"/>
        <v>13.009999999999998</v>
      </c>
      <c r="W211" s="12">
        <f t="shared" si="70"/>
        <v>13.009999999999998</v>
      </c>
      <c r="X211" s="12">
        <f t="shared" si="71"/>
        <v>0</v>
      </c>
      <c r="Y211" s="20">
        <f t="shared" si="84"/>
        <v>-9.8850000000000051</v>
      </c>
      <c r="Z211" s="12">
        <f t="shared" si="85"/>
        <v>0</v>
      </c>
      <c r="AA211" s="12">
        <f t="shared" si="86"/>
        <v>-9.8850000000000051</v>
      </c>
      <c r="AB211" s="8">
        <v>0.7</v>
      </c>
      <c r="AC211" s="20">
        <f t="shared" si="72"/>
        <v>68857.142857142855</v>
      </c>
      <c r="AD211" s="20">
        <f t="shared" si="87"/>
        <v>36150</v>
      </c>
      <c r="AE211" s="20">
        <f t="shared" si="73"/>
        <v>50271.42857142858</v>
      </c>
      <c r="AF211" s="21">
        <f t="shared" si="74"/>
        <v>18585.714285714275</v>
      </c>
      <c r="AG211" s="23">
        <f t="shared" si="75"/>
        <v>1.3333333333333333</v>
      </c>
      <c r="AH211" s="20">
        <f t="shared" si="76"/>
        <v>36150.000000000007</v>
      </c>
      <c r="AI211" s="20">
        <f t="shared" si="77"/>
        <v>26392.500000000004</v>
      </c>
      <c r="AJ211" s="20">
        <f t="shared" si="88"/>
        <v>9757.5000000000036</v>
      </c>
      <c r="AK211" s="47">
        <f t="shared" si="78"/>
        <v>1.9047619047619049</v>
      </c>
    </row>
    <row r="212" spans="1:37" x14ac:dyDescent="0.25">
      <c r="A212" s="8" t="s">
        <v>37</v>
      </c>
      <c r="B212" s="8" t="s">
        <v>263</v>
      </c>
      <c r="C212" s="8" t="s">
        <v>235</v>
      </c>
      <c r="D212" s="8">
        <v>2</v>
      </c>
      <c r="G212" s="8">
        <f t="shared" si="79"/>
        <v>2</v>
      </c>
      <c r="K212" s="8">
        <f t="shared" si="80"/>
        <v>0</v>
      </c>
      <c r="L212" s="8">
        <v>1</v>
      </c>
      <c r="M212" s="8">
        <v>0</v>
      </c>
      <c r="N212" s="8">
        <v>0</v>
      </c>
      <c r="O212" s="8">
        <f t="shared" si="81"/>
        <v>1</v>
      </c>
      <c r="P212" s="31">
        <v>1.5</v>
      </c>
      <c r="Q212" s="31">
        <v>1.25</v>
      </c>
      <c r="R212" s="66">
        <f>IF(A212='Свод по районам'!$A$25,'Свод по районам'!$G$25,0)</f>
        <v>1.9115891989723128</v>
      </c>
      <c r="S212" s="76">
        <f>ROUND(((D212*$K$7+E212*$K$8+F212*$K$9)+(H212*$AA$7+I212*$AA$8+J212*$AA$9)+(L212*'по детям'!$K$10*0.2+M212*'по детям'!$K$11*0.2+N212*'по детям'!$K$12*0.2))*P212*Q212/1.302/12,1)</f>
        <v>96.8</v>
      </c>
      <c r="T212" s="12">
        <f t="shared" si="82"/>
        <v>32.67</v>
      </c>
      <c r="U212" s="11">
        <v>78.290000000000006</v>
      </c>
      <c r="V212" s="12">
        <f t="shared" si="83"/>
        <v>18.509999999999991</v>
      </c>
      <c r="W212" s="12">
        <f t="shared" si="70"/>
        <v>18.509999999999991</v>
      </c>
      <c r="X212" s="12">
        <f t="shared" si="71"/>
        <v>0</v>
      </c>
      <c r="Y212" s="20">
        <f t="shared" si="84"/>
        <v>-45.620000000000005</v>
      </c>
      <c r="Z212" s="12">
        <f t="shared" si="85"/>
        <v>0</v>
      </c>
      <c r="AA212" s="12">
        <f t="shared" si="86"/>
        <v>-45.620000000000005</v>
      </c>
      <c r="AB212" s="8">
        <v>0.9</v>
      </c>
      <c r="AC212" s="20">
        <f t="shared" si="72"/>
        <v>107555.55555555555</v>
      </c>
      <c r="AD212" s="20">
        <f t="shared" si="87"/>
        <v>36300.000000000007</v>
      </c>
      <c r="AE212" s="20">
        <f t="shared" si="73"/>
        <v>86988.888888888891</v>
      </c>
      <c r="AF212" s="21">
        <f t="shared" si="74"/>
        <v>20566.666666666657</v>
      </c>
      <c r="AG212" s="23">
        <f t="shared" si="75"/>
        <v>2.6666666666666665</v>
      </c>
      <c r="AH212" s="20">
        <f t="shared" si="76"/>
        <v>36300.000000000007</v>
      </c>
      <c r="AI212" s="20">
        <f t="shared" si="77"/>
        <v>29358.750000000004</v>
      </c>
      <c r="AJ212" s="20">
        <f t="shared" si="88"/>
        <v>6941.2500000000036</v>
      </c>
      <c r="AK212" s="47">
        <f t="shared" si="78"/>
        <v>2.9629629629629628</v>
      </c>
    </row>
    <row r="213" spans="1:37" x14ac:dyDescent="0.25">
      <c r="A213" s="8" t="s">
        <v>37</v>
      </c>
      <c r="B213" s="8" t="s">
        <v>263</v>
      </c>
      <c r="C213" s="8" t="s">
        <v>236</v>
      </c>
      <c r="D213" s="8">
        <v>1</v>
      </c>
      <c r="G213" s="8">
        <f t="shared" si="79"/>
        <v>1</v>
      </c>
      <c r="K213" s="8">
        <f t="shared" si="80"/>
        <v>0</v>
      </c>
      <c r="L213" s="8">
        <v>1</v>
      </c>
      <c r="M213" s="8">
        <v>0</v>
      </c>
      <c r="N213" s="8">
        <v>0</v>
      </c>
      <c r="O213" s="8">
        <f t="shared" si="81"/>
        <v>1</v>
      </c>
      <c r="P213" s="31">
        <v>1.5</v>
      </c>
      <c r="Q213" s="31">
        <v>1.25</v>
      </c>
      <c r="R213" s="66">
        <f>IF(A213='Свод по районам'!$A$25,'Свод по районам'!$G$25,0)</f>
        <v>1.9115891989723128</v>
      </c>
      <c r="S213" s="76">
        <f>ROUND(((D213*$K$7+E213*$K$8+F213*$K$9)+(H213*$AA$7+I213*$AA$8+J213*$AA$9)+(L213*'по детям'!$K$10*0.2+M213*'по детям'!$K$11*0.2+N213*'по детям'!$K$12*0.2))*P213*Q213/1.302/12,1)</f>
        <v>48.6</v>
      </c>
      <c r="T213" s="12">
        <f t="shared" si="82"/>
        <v>32.805</v>
      </c>
      <c r="U213" s="11">
        <v>47.71</v>
      </c>
      <c r="V213" s="12">
        <f t="shared" si="83"/>
        <v>0.89000000000000057</v>
      </c>
      <c r="W213" s="12">
        <f t="shared" si="70"/>
        <v>0.89000000000000057</v>
      </c>
      <c r="X213" s="12">
        <f t="shared" si="71"/>
        <v>0</v>
      </c>
      <c r="Y213" s="20">
        <f t="shared" si="84"/>
        <v>-14.905000000000001</v>
      </c>
      <c r="Z213" s="12">
        <f t="shared" si="85"/>
        <v>0</v>
      </c>
      <c r="AA213" s="12">
        <f t="shared" si="86"/>
        <v>-14.905000000000001</v>
      </c>
      <c r="AB213" s="8">
        <v>0.9</v>
      </c>
      <c r="AC213" s="20">
        <f t="shared" si="72"/>
        <v>54000</v>
      </c>
      <c r="AD213" s="20">
        <f t="shared" si="87"/>
        <v>36449.999999999993</v>
      </c>
      <c r="AE213" s="20">
        <f t="shared" si="73"/>
        <v>53011.111111111109</v>
      </c>
      <c r="AF213" s="21">
        <f t="shared" si="74"/>
        <v>988.88888888889051</v>
      </c>
      <c r="AG213" s="23">
        <f t="shared" si="75"/>
        <v>1.3333333333333333</v>
      </c>
      <c r="AH213" s="20">
        <f t="shared" si="76"/>
        <v>36450</v>
      </c>
      <c r="AI213" s="20">
        <f t="shared" si="77"/>
        <v>35782.500000000007</v>
      </c>
      <c r="AJ213" s="20">
        <f t="shared" si="88"/>
        <v>667.49999999999272</v>
      </c>
      <c r="AK213" s="47">
        <f t="shared" si="78"/>
        <v>1.4814814814814814</v>
      </c>
    </row>
    <row r="214" spans="1:37" x14ac:dyDescent="0.25">
      <c r="A214" s="8" t="s">
        <v>37</v>
      </c>
      <c r="B214" s="8" t="s">
        <v>263</v>
      </c>
      <c r="C214" s="8" t="s">
        <v>237</v>
      </c>
      <c r="D214" s="8">
        <v>2</v>
      </c>
      <c r="G214" s="8">
        <f t="shared" si="79"/>
        <v>2</v>
      </c>
      <c r="H214" s="8">
        <v>1</v>
      </c>
      <c r="K214" s="8">
        <f t="shared" si="80"/>
        <v>1</v>
      </c>
      <c r="L214" s="8">
        <v>0</v>
      </c>
      <c r="M214" s="8">
        <v>0</v>
      </c>
      <c r="N214" s="8">
        <v>0</v>
      </c>
      <c r="O214" s="8">
        <f t="shared" si="81"/>
        <v>0</v>
      </c>
      <c r="P214" s="31">
        <v>1.5</v>
      </c>
      <c r="Q214" s="31">
        <v>1.25</v>
      </c>
      <c r="R214" s="66">
        <f>IF(A214='Свод по районам'!$A$25,'Свод по районам'!$G$25,0)</f>
        <v>1.9115891989723128</v>
      </c>
      <c r="S214" s="76">
        <f>ROUND(((D214*$K$7+E214*$K$8+F214*$K$9)+(H214*$AA$7+I214*$AA$8+J214*$AA$9)+(L214*'по детям'!$K$10*0.2+M214*'по детям'!$K$11*0.2+N214*'по детям'!$K$12*0.2))*P214*Q214/1.302/12,1)</f>
        <v>108.1</v>
      </c>
      <c r="T214" s="12">
        <f t="shared" si="82"/>
        <v>62.54357142857144</v>
      </c>
      <c r="U214" s="11">
        <v>89.91</v>
      </c>
      <c r="V214" s="12">
        <f t="shared" si="83"/>
        <v>18.189999999999998</v>
      </c>
      <c r="W214" s="12">
        <f t="shared" si="70"/>
        <v>18.189999999999998</v>
      </c>
      <c r="X214" s="12">
        <f t="shared" si="71"/>
        <v>0</v>
      </c>
      <c r="Y214" s="20">
        <f t="shared" si="84"/>
        <v>-27.366428571428557</v>
      </c>
      <c r="Z214" s="12">
        <f t="shared" si="85"/>
        <v>0</v>
      </c>
      <c r="AA214" s="12">
        <f t="shared" si="86"/>
        <v>-27.366428571428557</v>
      </c>
      <c r="AB214" s="8">
        <v>1.8</v>
      </c>
      <c r="AC214" s="20">
        <f t="shared" si="72"/>
        <v>60055.555555555547</v>
      </c>
      <c r="AD214" s="20">
        <f t="shared" si="87"/>
        <v>34746.428571428572</v>
      </c>
      <c r="AE214" s="20">
        <f t="shared" si="73"/>
        <v>49949.999999999993</v>
      </c>
      <c r="AF214" s="21">
        <f t="shared" si="74"/>
        <v>10105.555555555555</v>
      </c>
      <c r="AG214" s="23">
        <f t="shared" si="75"/>
        <v>3.1111111111111107</v>
      </c>
      <c r="AH214" s="20">
        <f t="shared" si="76"/>
        <v>34746.428571428572</v>
      </c>
      <c r="AI214" s="20">
        <f t="shared" si="77"/>
        <v>28899.642857142859</v>
      </c>
      <c r="AJ214" s="20">
        <f t="shared" si="88"/>
        <v>5846.7857142857138</v>
      </c>
      <c r="AK214" s="47">
        <f t="shared" si="78"/>
        <v>1.7283950617283947</v>
      </c>
    </row>
    <row r="215" spans="1:37" x14ac:dyDescent="0.25">
      <c r="A215" s="8" t="s">
        <v>37</v>
      </c>
      <c r="C215" s="8" t="s">
        <v>238</v>
      </c>
      <c r="D215" s="8">
        <v>2</v>
      </c>
      <c r="G215" s="8">
        <f t="shared" si="79"/>
        <v>2</v>
      </c>
      <c r="K215" s="8">
        <f t="shared" si="80"/>
        <v>0</v>
      </c>
      <c r="L215" s="8">
        <v>0</v>
      </c>
      <c r="M215" s="8">
        <v>0</v>
      </c>
      <c r="N215" s="8">
        <v>0</v>
      </c>
      <c r="O215" s="8">
        <f t="shared" si="81"/>
        <v>0</v>
      </c>
      <c r="P215" s="31">
        <v>1.5</v>
      </c>
      <c r="Q215" s="31">
        <v>1.25</v>
      </c>
      <c r="R215" s="66">
        <f>IF(A215='Свод по районам'!$A$25,'Свод по районам'!$G$25,0)</f>
        <v>1.9115891989723128</v>
      </c>
      <c r="S215" s="76">
        <f>ROUND(((D215*$K$7+E215*$K$8+F215*$K$9)+(H215*$AA$7+I215*$AA$8+J215*$AA$9)+(L215*'по детям'!$K$10*0.2+M215*'по детям'!$K$11*0.2+N215*'по детям'!$K$12*0.2))*P215*Q215/1.302/12,1)</f>
        <v>96.3</v>
      </c>
      <c r="T215" s="12">
        <f t="shared" si="82"/>
        <v>65.002499999999998</v>
      </c>
      <c r="U215" s="11">
        <v>97.3</v>
      </c>
      <c r="V215" s="12">
        <f t="shared" si="83"/>
        <v>-1</v>
      </c>
      <c r="W215" s="12">
        <f t="shared" si="70"/>
        <v>0</v>
      </c>
      <c r="X215" s="12">
        <f t="shared" si="71"/>
        <v>-1</v>
      </c>
      <c r="Y215" s="20">
        <f t="shared" si="84"/>
        <v>-32.297499999999999</v>
      </c>
      <c r="Z215" s="12">
        <f t="shared" si="85"/>
        <v>0</v>
      </c>
      <c r="AA215" s="12">
        <f t="shared" si="86"/>
        <v>-32.297499999999999</v>
      </c>
      <c r="AB215" s="8">
        <v>1.8</v>
      </c>
      <c r="AC215" s="20">
        <f t="shared" si="72"/>
        <v>53500</v>
      </c>
      <c r="AD215" s="20">
        <f t="shared" si="87"/>
        <v>36112.5</v>
      </c>
      <c r="AE215" s="20">
        <f t="shared" si="73"/>
        <v>54055.555555555547</v>
      </c>
      <c r="AF215" s="21">
        <f t="shared" si="74"/>
        <v>-555.55555555554747</v>
      </c>
      <c r="AG215" s="23">
        <f t="shared" si="75"/>
        <v>2.6666666666666665</v>
      </c>
      <c r="AH215" s="20">
        <f t="shared" si="76"/>
        <v>36112.500000000007</v>
      </c>
      <c r="AI215" s="20">
        <f t="shared" si="77"/>
        <v>36487.500000000007</v>
      </c>
      <c r="AJ215" s="20">
        <f t="shared" si="88"/>
        <v>-375</v>
      </c>
      <c r="AK215" s="47">
        <f t="shared" si="78"/>
        <v>1.4814814814814814</v>
      </c>
    </row>
    <row r="216" spans="1:37" x14ac:dyDescent="0.25">
      <c r="A216" s="8" t="s">
        <v>37</v>
      </c>
      <c r="B216" s="8" t="s">
        <v>263</v>
      </c>
      <c r="C216" s="8" t="s">
        <v>239</v>
      </c>
      <c r="D216" s="8">
        <v>2</v>
      </c>
      <c r="E216" s="8">
        <v>4</v>
      </c>
      <c r="G216" s="8">
        <f t="shared" si="79"/>
        <v>6</v>
      </c>
      <c r="K216" s="8">
        <f t="shared" si="80"/>
        <v>0</v>
      </c>
      <c r="L216" s="8">
        <v>1</v>
      </c>
      <c r="M216" s="8">
        <v>0</v>
      </c>
      <c r="N216" s="8">
        <v>0</v>
      </c>
      <c r="O216" s="8">
        <f t="shared" si="81"/>
        <v>1</v>
      </c>
      <c r="P216" s="31">
        <v>1.5</v>
      </c>
      <c r="Q216" s="31">
        <v>1.25</v>
      </c>
      <c r="R216" s="66">
        <f>IF(A216='Свод по районам'!$A$25,'Свод по районам'!$G$25,0)</f>
        <v>1.9115891989723128</v>
      </c>
      <c r="S216" s="76">
        <f>ROUND(((D216*$K$7+E216*$K$8+F216*$K$9)+(H216*$AA$7+I216*$AA$8+J216*$AA$9)+(L216*'по детям'!$K$10*0.2+M216*'по детям'!$K$11*0.2+N216*'по детям'!$K$12*0.2))*P216*Q216/1.302/12,1)</f>
        <v>358.4</v>
      </c>
      <c r="T216" s="12">
        <f t="shared" si="82"/>
        <v>139.77599999999998</v>
      </c>
      <c r="U216" s="11">
        <v>238.25</v>
      </c>
      <c r="V216" s="12">
        <f t="shared" si="83"/>
        <v>120.14999999999998</v>
      </c>
      <c r="W216" s="12">
        <f t="shared" si="70"/>
        <v>120.14999999999998</v>
      </c>
      <c r="X216" s="12">
        <f t="shared" si="71"/>
        <v>0</v>
      </c>
      <c r="Y216" s="20">
        <f t="shared" si="84"/>
        <v>-98.474000000000018</v>
      </c>
      <c r="Z216" s="12">
        <f t="shared" si="85"/>
        <v>0</v>
      </c>
      <c r="AA216" s="12">
        <f t="shared" si="86"/>
        <v>-98.474000000000018</v>
      </c>
      <c r="AB216" s="8">
        <v>3.9</v>
      </c>
      <c r="AC216" s="20">
        <f t="shared" si="72"/>
        <v>91897.435897435891</v>
      </c>
      <c r="AD216" s="20">
        <f t="shared" si="87"/>
        <v>35839.999999999993</v>
      </c>
      <c r="AE216" s="20">
        <f t="shared" si="73"/>
        <v>61089.743589743593</v>
      </c>
      <c r="AF216" s="21">
        <f t="shared" si="74"/>
        <v>30807.692307692298</v>
      </c>
      <c r="AG216" s="23">
        <f t="shared" si="75"/>
        <v>10</v>
      </c>
      <c r="AH216" s="20">
        <f t="shared" si="76"/>
        <v>35839.999999999993</v>
      </c>
      <c r="AI216" s="20">
        <f t="shared" si="77"/>
        <v>23825</v>
      </c>
      <c r="AJ216" s="20">
        <f t="shared" si="88"/>
        <v>12014.999999999993</v>
      </c>
      <c r="AK216" s="47">
        <f t="shared" si="78"/>
        <v>2.5641025641025643</v>
      </c>
    </row>
    <row r="217" spans="1:37" x14ac:dyDescent="0.25">
      <c r="A217" s="8" t="s">
        <v>37</v>
      </c>
      <c r="C217" s="8" t="s">
        <v>240</v>
      </c>
      <c r="D217" s="8">
        <v>4</v>
      </c>
      <c r="E217" s="8">
        <v>4</v>
      </c>
      <c r="G217" s="8">
        <f t="shared" si="79"/>
        <v>8</v>
      </c>
      <c r="K217" s="8">
        <f t="shared" si="80"/>
        <v>0</v>
      </c>
      <c r="L217" s="8">
        <v>2</v>
      </c>
      <c r="M217" s="8">
        <v>0</v>
      </c>
      <c r="N217" s="8">
        <v>0</v>
      </c>
      <c r="O217" s="8">
        <f t="shared" si="81"/>
        <v>2</v>
      </c>
      <c r="P217" s="31">
        <v>1.5</v>
      </c>
      <c r="Q217" s="31">
        <v>1.25</v>
      </c>
      <c r="R217" s="66">
        <f>IF(A217='Свод по районам'!$A$25,'Свод по районам'!$G$25,0)</f>
        <v>1.9115891989723128</v>
      </c>
      <c r="S217" s="76">
        <f>ROUND(((D217*$K$7+E217*$K$8+F217*$K$9)+(H217*$AA$7+I217*$AA$8+J217*$AA$9)+(L217*'по детям'!$K$10*0.2+M217*'по детям'!$K$11*0.2+N217*'по детям'!$K$12*0.2))*P217*Q217/1.302/12,1)</f>
        <v>455.2</v>
      </c>
      <c r="T217" s="12">
        <f t="shared" si="82"/>
        <v>168.90315789473684</v>
      </c>
      <c r="U217" s="11">
        <v>294.27699999999999</v>
      </c>
      <c r="V217" s="12">
        <f t="shared" si="83"/>
        <v>160.923</v>
      </c>
      <c r="W217" s="12">
        <f t="shared" si="70"/>
        <v>160.923</v>
      </c>
      <c r="X217" s="12">
        <f t="shared" si="71"/>
        <v>0</v>
      </c>
      <c r="Y217" s="20">
        <f t="shared" si="84"/>
        <v>-125.37384210526315</v>
      </c>
      <c r="Z217" s="12">
        <f t="shared" si="85"/>
        <v>0</v>
      </c>
      <c r="AA217" s="12">
        <f t="shared" si="86"/>
        <v>-125.37384210526315</v>
      </c>
      <c r="AB217" s="8">
        <v>4.7</v>
      </c>
      <c r="AC217" s="20">
        <f t="shared" si="72"/>
        <v>96851.063829787221</v>
      </c>
      <c r="AD217" s="20">
        <f t="shared" si="87"/>
        <v>35936.842105263153</v>
      </c>
      <c r="AE217" s="20">
        <f t="shared" si="73"/>
        <v>62612.127659574464</v>
      </c>
      <c r="AF217" s="21">
        <f t="shared" si="74"/>
        <v>34238.936170212757</v>
      </c>
      <c r="AG217" s="23">
        <f t="shared" si="75"/>
        <v>12.666666666666666</v>
      </c>
      <c r="AH217" s="20">
        <f t="shared" si="76"/>
        <v>35936.84210526316</v>
      </c>
      <c r="AI217" s="20">
        <f t="shared" si="77"/>
        <v>23232.394736842107</v>
      </c>
      <c r="AJ217" s="20">
        <f t="shared" si="88"/>
        <v>12704.447368421053</v>
      </c>
      <c r="AK217" s="47">
        <f t="shared" si="78"/>
        <v>2.6950354609929077</v>
      </c>
    </row>
    <row r="218" spans="1:37" x14ac:dyDescent="0.25">
      <c r="A218" s="8" t="s">
        <v>37</v>
      </c>
      <c r="C218" s="8" t="s">
        <v>241</v>
      </c>
      <c r="D218" s="8">
        <v>4</v>
      </c>
      <c r="E218" s="8">
        <v>5</v>
      </c>
      <c r="F218" s="8">
        <v>1</v>
      </c>
      <c r="G218" s="8">
        <f t="shared" si="79"/>
        <v>10</v>
      </c>
      <c r="K218" s="8">
        <f t="shared" si="80"/>
        <v>0</v>
      </c>
      <c r="L218" s="8">
        <v>0</v>
      </c>
      <c r="M218" s="8">
        <v>1</v>
      </c>
      <c r="N218" s="8">
        <v>0</v>
      </c>
      <c r="O218" s="8">
        <f t="shared" si="81"/>
        <v>1</v>
      </c>
      <c r="P218" s="31">
        <v>1.5</v>
      </c>
      <c r="Q218" s="31">
        <v>1.25</v>
      </c>
      <c r="R218" s="66">
        <f>IF(A218='Свод по районам'!$A$25,'Свод по районам'!$G$25,0)</f>
        <v>1.9115891989723128</v>
      </c>
      <c r="S218" s="76">
        <f>ROUND(((D218*$K$7+E218*$K$8+F218*$K$9)+(H218*$AA$7+I218*$AA$8+J218*$AA$9)+(L218*'по детям'!$K$10*0.2+M218*'по детям'!$K$11*0.2+N218*'по детям'!$K$12*0.2))*P218*Q218/1.302/12,1)</f>
        <v>591.70000000000005</v>
      </c>
      <c r="T218" s="12">
        <f t="shared" si="82"/>
        <v>358.60606060606068</v>
      </c>
      <c r="U218" s="11">
        <v>352.77800000000002</v>
      </c>
      <c r="V218" s="12">
        <f t="shared" si="83"/>
        <v>238.92200000000003</v>
      </c>
      <c r="W218" s="12">
        <f t="shared" si="70"/>
        <v>238.92200000000003</v>
      </c>
      <c r="X218" s="12">
        <f t="shared" si="71"/>
        <v>0</v>
      </c>
      <c r="Y218" s="20">
        <f t="shared" si="84"/>
        <v>5.8280606060606601</v>
      </c>
      <c r="Z218" s="12">
        <f t="shared" si="85"/>
        <v>5.8280606060606601</v>
      </c>
      <c r="AA218" s="12">
        <f t="shared" si="86"/>
        <v>0</v>
      </c>
      <c r="AB218" s="8">
        <v>10</v>
      </c>
      <c r="AC218" s="20">
        <f t="shared" si="72"/>
        <v>59170</v>
      </c>
      <c r="AD218" s="20">
        <f t="shared" si="87"/>
        <v>35860.606060606064</v>
      </c>
      <c r="AE218" s="20">
        <f t="shared" si="73"/>
        <v>35277.799999999996</v>
      </c>
      <c r="AF218" s="21">
        <f t="shared" si="74"/>
        <v>23892.200000000004</v>
      </c>
      <c r="AG218" s="23">
        <f t="shared" si="75"/>
        <v>16.5</v>
      </c>
      <c r="AH218" s="20">
        <f t="shared" si="76"/>
        <v>35860.606060606064</v>
      </c>
      <c r="AI218" s="20">
        <f t="shared" si="77"/>
        <v>21380.484848484852</v>
      </c>
      <c r="AJ218" s="20">
        <f t="shared" si="88"/>
        <v>14480.121212121212</v>
      </c>
      <c r="AK218" s="47">
        <f t="shared" si="78"/>
        <v>1.65</v>
      </c>
    </row>
    <row r="219" spans="1:37" x14ac:dyDescent="0.25">
      <c r="A219" s="8" t="s">
        <v>37</v>
      </c>
      <c r="B219" s="8" t="s">
        <v>263</v>
      </c>
      <c r="C219" s="8" t="s">
        <v>242</v>
      </c>
      <c r="D219" s="8">
        <v>2</v>
      </c>
      <c r="E219" s="8">
        <v>2</v>
      </c>
      <c r="F219" s="8">
        <v>1</v>
      </c>
      <c r="G219" s="8">
        <f t="shared" si="79"/>
        <v>5</v>
      </c>
      <c r="K219" s="8">
        <f t="shared" si="80"/>
        <v>0</v>
      </c>
      <c r="L219" s="8">
        <v>0</v>
      </c>
      <c r="M219" s="8">
        <v>0</v>
      </c>
      <c r="N219" s="8">
        <v>0</v>
      </c>
      <c r="O219" s="8">
        <f t="shared" si="81"/>
        <v>0</v>
      </c>
      <c r="P219" s="31">
        <v>1.5</v>
      </c>
      <c r="Q219" s="31">
        <v>1.25</v>
      </c>
      <c r="R219" s="66">
        <f>IF(A219='Свод по районам'!$A$25,'Свод по районам'!$G$25,0)</f>
        <v>1.9115891989723128</v>
      </c>
      <c r="S219" s="76">
        <f>ROUND(((D219*$K$7+E219*$K$8+F219*$K$9)+(H219*$AA$7+I219*$AA$8+J219*$AA$9)+(L219*'по детям'!$K$10*0.2+M219*'по детям'!$K$11*0.2+N219*'по детям'!$K$12*0.2))*P219*Q219/1.302/12,1)</f>
        <v>298.5</v>
      </c>
      <c r="T219" s="12">
        <f t="shared" si="82"/>
        <v>161.19000000000003</v>
      </c>
      <c r="U219" s="11">
        <v>191.148</v>
      </c>
      <c r="V219" s="12">
        <f t="shared" si="83"/>
        <v>107.352</v>
      </c>
      <c r="W219" s="12">
        <f t="shared" si="70"/>
        <v>107.352</v>
      </c>
      <c r="X219" s="12">
        <f t="shared" si="71"/>
        <v>0</v>
      </c>
      <c r="Y219" s="20">
        <f t="shared" si="84"/>
        <v>-29.95799999999997</v>
      </c>
      <c r="Z219" s="12">
        <f t="shared" si="85"/>
        <v>0</v>
      </c>
      <c r="AA219" s="12">
        <f t="shared" si="86"/>
        <v>-29.95799999999997</v>
      </c>
      <c r="AB219" s="8">
        <v>4.5</v>
      </c>
      <c r="AC219" s="20">
        <f t="shared" si="72"/>
        <v>66333.333333333328</v>
      </c>
      <c r="AD219" s="20">
        <f t="shared" si="87"/>
        <v>35820.000000000007</v>
      </c>
      <c r="AE219" s="20">
        <f t="shared" si="73"/>
        <v>42477.333333333336</v>
      </c>
      <c r="AF219" s="21">
        <f t="shared" si="74"/>
        <v>23855.999999999993</v>
      </c>
      <c r="AG219" s="23">
        <f t="shared" si="75"/>
        <v>8.3333333333333321</v>
      </c>
      <c r="AH219" s="20">
        <f t="shared" si="76"/>
        <v>35820.000000000007</v>
      </c>
      <c r="AI219" s="20">
        <f t="shared" si="77"/>
        <v>22937.760000000006</v>
      </c>
      <c r="AJ219" s="20">
        <f t="shared" si="88"/>
        <v>12882.240000000002</v>
      </c>
      <c r="AK219" s="47">
        <f t="shared" si="78"/>
        <v>1.8518518518518516</v>
      </c>
    </row>
    <row r="220" spans="1:37" x14ac:dyDescent="0.25">
      <c r="A220" s="8" t="s">
        <v>37</v>
      </c>
      <c r="B220" s="8" t="s">
        <v>263</v>
      </c>
      <c r="C220" s="8" t="s">
        <v>243</v>
      </c>
      <c r="D220" s="8">
        <v>4</v>
      </c>
      <c r="E220" s="8">
        <v>3</v>
      </c>
      <c r="G220" s="8">
        <f t="shared" si="79"/>
        <v>7</v>
      </c>
      <c r="H220" s="8">
        <v>1</v>
      </c>
      <c r="I220" s="8">
        <v>1</v>
      </c>
      <c r="K220" s="8">
        <f t="shared" si="80"/>
        <v>2</v>
      </c>
      <c r="L220" s="8">
        <v>0</v>
      </c>
      <c r="M220" s="8">
        <v>0</v>
      </c>
      <c r="N220" s="8">
        <v>0</v>
      </c>
      <c r="O220" s="8">
        <f t="shared" si="81"/>
        <v>0</v>
      </c>
      <c r="P220" s="31">
        <v>1.5</v>
      </c>
      <c r="Q220" s="31">
        <v>1.25</v>
      </c>
      <c r="R220" s="66">
        <f>IF(A220='Свод по районам'!$A$25,'Свод по районам'!$G$25,0)</f>
        <v>1.9115891989723128</v>
      </c>
      <c r="S220" s="76">
        <f>ROUND(((D220*$K$7+E220*$K$8+F220*$K$9)+(H220*$AA$7+I220*$AA$8+J220*$AA$9)+(L220*'по детям'!$K$10*0.2+M220*'по детям'!$K$11*0.2+N220*'по детям'!$K$12*0.2))*P220*Q220/1.302/12,1)</f>
        <v>416.5</v>
      </c>
      <c r="T220" s="12">
        <f t="shared" si="82"/>
        <v>353.83037383177572</v>
      </c>
      <c r="U220" s="11">
        <v>293.27799999999996</v>
      </c>
      <c r="V220" s="12">
        <f t="shared" si="83"/>
        <v>123.22200000000004</v>
      </c>
      <c r="W220" s="12">
        <f t="shared" si="70"/>
        <v>123.22200000000004</v>
      </c>
      <c r="X220" s="12">
        <f t="shared" si="71"/>
        <v>0</v>
      </c>
      <c r="Y220" s="20">
        <f t="shared" si="84"/>
        <v>60.552373831775753</v>
      </c>
      <c r="Z220" s="12">
        <f t="shared" si="85"/>
        <v>60.552373831775753</v>
      </c>
      <c r="AA220" s="12">
        <f t="shared" si="86"/>
        <v>0</v>
      </c>
      <c r="AB220" s="8">
        <v>10.1</v>
      </c>
      <c r="AC220" s="20">
        <f t="shared" si="72"/>
        <v>41237.623762376235</v>
      </c>
      <c r="AD220" s="20">
        <f t="shared" si="87"/>
        <v>35032.710280373831</v>
      </c>
      <c r="AE220" s="20">
        <f t="shared" si="73"/>
        <v>29037.425742574254</v>
      </c>
      <c r="AF220" s="21">
        <f t="shared" si="74"/>
        <v>12200.198019801981</v>
      </c>
      <c r="AG220" s="23">
        <f t="shared" si="75"/>
        <v>11.888888888888888</v>
      </c>
      <c r="AH220" s="20">
        <f t="shared" si="76"/>
        <v>35032.710280373831</v>
      </c>
      <c r="AI220" s="20">
        <f t="shared" si="77"/>
        <v>24668.242990654206</v>
      </c>
      <c r="AJ220" s="20">
        <f t="shared" si="88"/>
        <v>10364.467289719625</v>
      </c>
      <c r="AK220" s="47">
        <f t="shared" si="78"/>
        <v>1.1771177117711771</v>
      </c>
    </row>
    <row r="221" spans="1:37" x14ac:dyDescent="0.25">
      <c r="A221" s="8" t="s">
        <v>37</v>
      </c>
      <c r="B221" s="8" t="s">
        <v>263</v>
      </c>
      <c r="C221" s="8" t="s">
        <v>244</v>
      </c>
      <c r="D221" s="8">
        <v>2</v>
      </c>
      <c r="E221" s="8">
        <v>3</v>
      </c>
      <c r="G221" s="8">
        <f t="shared" si="79"/>
        <v>5</v>
      </c>
      <c r="I221" s="8">
        <v>2</v>
      </c>
      <c r="K221" s="8">
        <f t="shared" si="80"/>
        <v>2</v>
      </c>
      <c r="L221" s="8">
        <v>0</v>
      </c>
      <c r="M221" s="8">
        <v>0</v>
      </c>
      <c r="N221" s="8">
        <v>0</v>
      </c>
      <c r="O221" s="8">
        <f t="shared" si="81"/>
        <v>0</v>
      </c>
      <c r="P221" s="31">
        <v>1.5</v>
      </c>
      <c r="Q221" s="31">
        <v>1.25</v>
      </c>
      <c r="R221" s="66">
        <f>IF(A221='Свод по районам'!$A$25,'Свод по районам'!$G$25,0)</f>
        <v>1.9115891989723128</v>
      </c>
      <c r="S221" s="76">
        <f>ROUND(((D221*$K$7+E221*$K$8+F221*$K$9)+(H221*$AA$7+I221*$AA$8+J221*$AA$9)+(L221*'по детям'!$K$10*0.2+M221*'по детям'!$K$11*0.2+N221*'по детям'!$K$12*0.2))*P221*Q221/1.302/12,1)</f>
        <v>324.3</v>
      </c>
      <c r="T221" s="12">
        <f t="shared" si="82"/>
        <v>221.06130177514794</v>
      </c>
      <c r="U221" s="11">
        <v>257.048</v>
      </c>
      <c r="V221" s="12">
        <f t="shared" si="83"/>
        <v>67.25200000000001</v>
      </c>
      <c r="W221" s="12">
        <f t="shared" si="70"/>
        <v>67.25200000000001</v>
      </c>
      <c r="X221" s="12">
        <f t="shared" si="71"/>
        <v>0</v>
      </c>
      <c r="Y221" s="20">
        <f t="shared" si="84"/>
        <v>-35.986698224852063</v>
      </c>
      <c r="Z221" s="12">
        <f t="shared" si="85"/>
        <v>0</v>
      </c>
      <c r="AA221" s="12">
        <f t="shared" si="86"/>
        <v>-35.986698224852063</v>
      </c>
      <c r="AB221" s="8">
        <v>6.4</v>
      </c>
      <c r="AC221" s="20">
        <f t="shared" si="72"/>
        <v>50671.875</v>
      </c>
      <c r="AD221" s="20">
        <f t="shared" si="87"/>
        <v>34540.82840236686</v>
      </c>
      <c r="AE221" s="20">
        <f t="shared" si="73"/>
        <v>40163.75</v>
      </c>
      <c r="AF221" s="21">
        <f t="shared" si="74"/>
        <v>10508.125</v>
      </c>
      <c r="AG221" s="23">
        <f t="shared" si="75"/>
        <v>9.3888888888888893</v>
      </c>
      <c r="AH221" s="20">
        <f t="shared" si="76"/>
        <v>34540.82840236686</v>
      </c>
      <c r="AI221" s="20">
        <f t="shared" si="77"/>
        <v>27377.893491124258</v>
      </c>
      <c r="AJ221" s="20">
        <f t="shared" si="88"/>
        <v>7162.9349112426025</v>
      </c>
      <c r="AK221" s="47">
        <f t="shared" si="78"/>
        <v>1.4670138888888888</v>
      </c>
    </row>
    <row r="222" spans="1:37" x14ac:dyDescent="0.25">
      <c r="A222" s="8" t="s">
        <v>37</v>
      </c>
      <c r="B222" s="8" t="s">
        <v>263</v>
      </c>
      <c r="C222" s="8" t="s">
        <v>245</v>
      </c>
      <c r="D222" s="8">
        <v>2</v>
      </c>
      <c r="E222" s="8">
        <v>3</v>
      </c>
      <c r="G222" s="8">
        <f t="shared" si="79"/>
        <v>5</v>
      </c>
      <c r="K222" s="8">
        <f t="shared" si="80"/>
        <v>0</v>
      </c>
      <c r="L222" s="8">
        <v>0</v>
      </c>
      <c r="M222" s="8">
        <v>0</v>
      </c>
      <c r="N222" s="8">
        <v>0</v>
      </c>
      <c r="O222" s="8">
        <f t="shared" si="81"/>
        <v>0</v>
      </c>
      <c r="P222" s="31">
        <v>1.5</v>
      </c>
      <c r="Q222" s="31">
        <v>1.25</v>
      </c>
      <c r="R222" s="66">
        <f>IF(A222='Свод по районам'!$A$25,'Свод по районам'!$G$25,0)</f>
        <v>1.9115891989723128</v>
      </c>
      <c r="S222" s="76">
        <f>ROUND(((D222*$K$7+E222*$K$8+F222*$K$9)+(H222*$AA$7+I222*$AA$8+J222*$AA$9)+(L222*'по детям'!$K$10*0.2+M222*'по детям'!$K$11*0.2+N222*'по детям'!$K$12*0.2))*P222*Q222/1.302/12,1)</f>
        <v>292.60000000000002</v>
      </c>
      <c r="T222" s="12">
        <f t="shared" si="82"/>
        <v>229.30285714285719</v>
      </c>
      <c r="U222" s="11">
        <v>249.97300000000001</v>
      </c>
      <c r="V222" s="12">
        <f t="shared" si="83"/>
        <v>42.62700000000001</v>
      </c>
      <c r="W222" s="12">
        <f t="shared" si="70"/>
        <v>42.62700000000001</v>
      </c>
      <c r="X222" s="12">
        <f t="shared" si="71"/>
        <v>0</v>
      </c>
      <c r="Y222" s="20">
        <f t="shared" si="84"/>
        <v>-20.670142857142821</v>
      </c>
      <c r="Z222" s="12">
        <f t="shared" si="85"/>
        <v>0</v>
      </c>
      <c r="AA222" s="12">
        <f t="shared" si="86"/>
        <v>-20.670142857142821</v>
      </c>
      <c r="AB222" s="8">
        <v>6.4</v>
      </c>
      <c r="AC222" s="20">
        <f t="shared" si="72"/>
        <v>45718.75</v>
      </c>
      <c r="AD222" s="20">
        <f t="shared" si="87"/>
        <v>35828.571428571435</v>
      </c>
      <c r="AE222" s="20">
        <f t="shared" si="73"/>
        <v>39058.28125</v>
      </c>
      <c r="AF222" s="21">
        <f t="shared" si="74"/>
        <v>6660.46875</v>
      </c>
      <c r="AG222" s="23">
        <f t="shared" si="75"/>
        <v>8.1666666666666661</v>
      </c>
      <c r="AH222" s="20">
        <f t="shared" si="76"/>
        <v>35828.571428571435</v>
      </c>
      <c r="AI222" s="20">
        <f t="shared" si="77"/>
        <v>30608.938775510207</v>
      </c>
      <c r="AJ222" s="20">
        <f t="shared" si="88"/>
        <v>5219.6326530612278</v>
      </c>
      <c r="AK222" s="47">
        <f t="shared" si="78"/>
        <v>1.2760416666666665</v>
      </c>
    </row>
    <row r="223" spans="1:37" x14ac:dyDescent="0.25">
      <c r="A223" s="8" t="s">
        <v>37</v>
      </c>
      <c r="B223" s="8" t="s">
        <v>263</v>
      </c>
      <c r="C223" s="8" t="s">
        <v>246</v>
      </c>
      <c r="D223" s="8">
        <v>2</v>
      </c>
      <c r="E223" s="8">
        <v>4</v>
      </c>
      <c r="G223" s="8">
        <f t="shared" si="79"/>
        <v>6</v>
      </c>
      <c r="K223" s="8">
        <f t="shared" si="80"/>
        <v>0</v>
      </c>
      <c r="L223" s="8">
        <v>0</v>
      </c>
      <c r="M223" s="8">
        <v>3</v>
      </c>
      <c r="N223" s="8">
        <v>0</v>
      </c>
      <c r="O223" s="8">
        <f t="shared" si="81"/>
        <v>3</v>
      </c>
      <c r="P223" s="31">
        <v>1.5</v>
      </c>
      <c r="Q223" s="31">
        <v>1.25</v>
      </c>
      <c r="R223" s="66">
        <f>IF(A223='Свод по районам'!$A$25,'Свод по районам'!$G$25,0)</f>
        <v>1.9115891989723128</v>
      </c>
      <c r="S223" s="76">
        <f>ROUND(((D223*$K$7+E223*$K$8+F223*$K$9)+(H223*$AA$7+I223*$AA$8+J223*$AA$9)+(L223*'по детям'!$K$10*0.2+M223*'по детям'!$K$11*0.2+N223*'по детям'!$K$12*0.2))*P223*Q223/1.302/12,1)</f>
        <v>359.9</v>
      </c>
      <c r="T223" s="12">
        <f t="shared" si="82"/>
        <v>244.73199999999997</v>
      </c>
      <c r="U223" s="11">
        <v>246.29</v>
      </c>
      <c r="V223" s="12">
        <f t="shared" si="83"/>
        <v>113.60999999999999</v>
      </c>
      <c r="W223" s="12">
        <f t="shared" si="70"/>
        <v>113.60999999999999</v>
      </c>
      <c r="X223" s="12">
        <f t="shared" si="71"/>
        <v>0</v>
      </c>
      <c r="Y223" s="20">
        <f t="shared" si="84"/>
        <v>-1.5580000000000211</v>
      </c>
      <c r="Z223" s="12">
        <f t="shared" si="85"/>
        <v>0</v>
      </c>
      <c r="AA223" s="12">
        <f t="shared" si="86"/>
        <v>-1.5580000000000211</v>
      </c>
      <c r="AB223" s="8">
        <v>6.8</v>
      </c>
      <c r="AC223" s="20">
        <f t="shared" si="72"/>
        <v>52926.470588235286</v>
      </c>
      <c r="AD223" s="20">
        <f t="shared" si="87"/>
        <v>35989.999999999993</v>
      </c>
      <c r="AE223" s="20">
        <f t="shared" si="73"/>
        <v>36219.117647058825</v>
      </c>
      <c r="AF223" s="21">
        <f t="shared" si="74"/>
        <v>16707.352941176461</v>
      </c>
      <c r="AG223" s="23">
        <f t="shared" si="75"/>
        <v>10</v>
      </c>
      <c r="AH223" s="20">
        <f t="shared" si="76"/>
        <v>35989.999999999993</v>
      </c>
      <c r="AI223" s="20">
        <f t="shared" si="77"/>
        <v>24628.999999999996</v>
      </c>
      <c r="AJ223" s="20">
        <f t="shared" si="88"/>
        <v>11360.999999999996</v>
      </c>
      <c r="AK223" s="47">
        <f t="shared" si="78"/>
        <v>1.4705882352941178</v>
      </c>
    </row>
    <row r="224" spans="1:37" x14ac:dyDescent="0.25">
      <c r="A224" s="8" t="s">
        <v>37</v>
      </c>
      <c r="C224" s="8" t="s">
        <v>247</v>
      </c>
      <c r="D224" s="8">
        <v>3</v>
      </c>
      <c r="E224" s="8">
        <v>5</v>
      </c>
      <c r="F224" s="8">
        <v>2</v>
      </c>
      <c r="G224" s="8">
        <f t="shared" si="79"/>
        <v>10</v>
      </c>
      <c r="I224" s="8">
        <v>1</v>
      </c>
      <c r="K224" s="8">
        <f t="shared" si="80"/>
        <v>1</v>
      </c>
      <c r="L224" s="8">
        <v>0</v>
      </c>
      <c r="M224" s="8">
        <v>0</v>
      </c>
      <c r="N224" s="8">
        <v>0</v>
      </c>
      <c r="O224" s="8">
        <f t="shared" si="81"/>
        <v>0</v>
      </c>
      <c r="P224" s="31">
        <v>1.5</v>
      </c>
      <c r="Q224" s="31">
        <v>1.25</v>
      </c>
      <c r="R224" s="66">
        <f>IF(A224='Свод по районам'!$A$25,'Свод по районам'!$G$25,0)</f>
        <v>1.9115891989723128</v>
      </c>
      <c r="S224" s="76">
        <f>ROUND(((D224*$K$7+E224*$K$8+F224*$K$9)+(H224*$AA$7+I224*$AA$8+J224*$AA$9)+(L224*'по детям'!$K$10*0.2+M224*'по детям'!$K$11*0.2+N224*'по детям'!$K$12*0.2))*P224*Q224/1.302/12,1)</f>
        <v>630.1</v>
      </c>
      <c r="T224" s="12">
        <f t="shared" si="82"/>
        <v>287.08931250000006</v>
      </c>
      <c r="U224" s="11">
        <v>353.68600000000004</v>
      </c>
      <c r="V224" s="12">
        <f t="shared" si="83"/>
        <v>276.41399999999999</v>
      </c>
      <c r="W224" s="12">
        <f t="shared" si="70"/>
        <v>276.41399999999999</v>
      </c>
      <c r="X224" s="12">
        <f t="shared" si="71"/>
        <v>0</v>
      </c>
      <c r="Y224" s="20">
        <f t="shared" si="84"/>
        <v>-66.596687499999973</v>
      </c>
      <c r="Z224" s="12">
        <f t="shared" si="85"/>
        <v>0</v>
      </c>
      <c r="AA224" s="12">
        <f t="shared" si="86"/>
        <v>-66.596687499999973</v>
      </c>
      <c r="AB224" s="8">
        <v>8.1</v>
      </c>
      <c r="AC224" s="20">
        <f t="shared" si="72"/>
        <v>77790.123456790127</v>
      </c>
      <c r="AD224" s="20">
        <f t="shared" si="87"/>
        <v>35443.125000000007</v>
      </c>
      <c r="AE224" s="20">
        <f t="shared" si="73"/>
        <v>43664.938271604944</v>
      </c>
      <c r="AF224" s="21">
        <f t="shared" si="74"/>
        <v>34125.185185185182</v>
      </c>
      <c r="AG224" s="23">
        <f t="shared" si="75"/>
        <v>17.777777777777775</v>
      </c>
      <c r="AH224" s="20">
        <f t="shared" si="76"/>
        <v>35443.125000000007</v>
      </c>
      <c r="AI224" s="20">
        <f t="shared" si="77"/>
        <v>19894.837500000005</v>
      </c>
      <c r="AJ224" s="20">
        <f t="shared" si="88"/>
        <v>15548.287500000002</v>
      </c>
      <c r="AK224" s="47">
        <f t="shared" si="78"/>
        <v>2.1947873799725648</v>
      </c>
    </row>
    <row r="225" spans="1:37" x14ac:dyDescent="0.25">
      <c r="A225" s="8" t="s">
        <v>38</v>
      </c>
      <c r="B225" s="8" t="s">
        <v>263</v>
      </c>
      <c r="C225" s="8" t="s">
        <v>248</v>
      </c>
      <c r="D225" s="8">
        <v>1</v>
      </c>
      <c r="G225" s="8">
        <f t="shared" si="79"/>
        <v>1</v>
      </c>
      <c r="K225" s="8">
        <f t="shared" si="80"/>
        <v>0</v>
      </c>
      <c r="L225" s="8">
        <v>0</v>
      </c>
      <c r="M225" s="8">
        <v>0</v>
      </c>
      <c r="N225" s="8">
        <v>0</v>
      </c>
      <c r="O225" s="8">
        <f t="shared" si="81"/>
        <v>0</v>
      </c>
      <c r="P225" s="31">
        <v>1.5</v>
      </c>
      <c r="Q225" s="31">
        <v>1.25</v>
      </c>
      <c r="R225" s="66">
        <f>IF(A225='Свод по районам'!$A$26,'Свод по районам'!$G$26,0)</f>
        <v>1.2475086652244958</v>
      </c>
      <c r="S225" s="76">
        <f>ROUND(((D225*$K$7+E225*$K$8+F225*$K$9)+(H225*$AA$7+I225*$AA$8+J225*$AA$9)+(L225*'по детям'!$K$10*0.2+M225*'по детям'!$K$11*0.2+N225*'по детям'!$K$12*0.2))*P225*Q225/1.302/12,1)</f>
        <v>48.2</v>
      </c>
      <c r="T225" s="12">
        <f t="shared" si="82"/>
        <v>46.995000000000005</v>
      </c>
      <c r="U225" s="11">
        <v>48.7</v>
      </c>
      <c r="V225" s="12">
        <f t="shared" si="83"/>
        <v>-0.5</v>
      </c>
      <c r="W225" s="12">
        <f t="shared" si="70"/>
        <v>0</v>
      </c>
      <c r="X225" s="12">
        <f t="shared" si="71"/>
        <v>-0.5</v>
      </c>
      <c r="Y225" s="20">
        <f t="shared" si="84"/>
        <v>-1.7049999999999983</v>
      </c>
      <c r="Z225" s="12">
        <f t="shared" si="85"/>
        <v>0</v>
      </c>
      <c r="AA225" s="12">
        <f t="shared" si="86"/>
        <v>-1.7049999999999983</v>
      </c>
      <c r="AB225" s="8">
        <v>1.3</v>
      </c>
      <c r="AC225" s="20">
        <f t="shared" si="72"/>
        <v>37076.923076923078</v>
      </c>
      <c r="AD225" s="20">
        <f t="shared" si="87"/>
        <v>36150.000000000007</v>
      </c>
      <c r="AE225" s="20">
        <f t="shared" si="73"/>
        <v>37461.538461538461</v>
      </c>
      <c r="AF225" s="21">
        <f t="shared" si="74"/>
        <v>-384.61538461538294</v>
      </c>
      <c r="AG225" s="23">
        <f t="shared" si="75"/>
        <v>1.3333333333333333</v>
      </c>
      <c r="AH225" s="20">
        <f t="shared" si="76"/>
        <v>36150.000000000007</v>
      </c>
      <c r="AI225" s="20">
        <f t="shared" si="77"/>
        <v>36525.000000000007</v>
      </c>
      <c r="AJ225" s="20">
        <f t="shared" si="88"/>
        <v>-375</v>
      </c>
      <c r="AK225" s="47">
        <f t="shared" si="78"/>
        <v>1.0256410256410255</v>
      </c>
    </row>
    <row r="226" spans="1:37" x14ac:dyDescent="0.25">
      <c r="A226" s="8" t="s">
        <v>38</v>
      </c>
      <c r="B226" s="8" t="s">
        <v>263</v>
      </c>
      <c r="C226" s="8" t="s">
        <v>249</v>
      </c>
      <c r="D226" s="8">
        <v>2</v>
      </c>
      <c r="E226" s="8">
        <v>2</v>
      </c>
      <c r="G226" s="8">
        <f t="shared" si="79"/>
        <v>4</v>
      </c>
      <c r="H226" s="8">
        <v>1</v>
      </c>
      <c r="K226" s="8">
        <f t="shared" si="80"/>
        <v>1</v>
      </c>
      <c r="L226" s="8">
        <v>0</v>
      </c>
      <c r="M226" s="8">
        <v>0</v>
      </c>
      <c r="N226" s="8">
        <v>0</v>
      </c>
      <c r="O226" s="8">
        <f t="shared" si="81"/>
        <v>0</v>
      </c>
      <c r="P226" s="31">
        <v>1.5</v>
      </c>
      <c r="Q226" s="31">
        <v>1.25</v>
      </c>
      <c r="R226" s="66">
        <f>IF(A226='Свод по районам'!$A$26,'Свод по районам'!$G$26,0)</f>
        <v>1.2475086652244958</v>
      </c>
      <c r="S226" s="76">
        <f>ROUND(((D226*$K$7+E226*$K$8+F226*$K$9)+(H226*$AA$7+I226*$AA$8+J226*$AA$9)+(L226*'по детям'!$K$10*0.2+M226*'по детям'!$K$11*0.2+N226*'по детям'!$K$12*0.2))*P226*Q226/1.302/12,1)</f>
        <v>238.9</v>
      </c>
      <c r="T226" s="12">
        <f t="shared" si="82"/>
        <v>211.48524590163936</v>
      </c>
      <c r="U226" s="11">
        <v>199.46342000000001</v>
      </c>
      <c r="V226" s="12">
        <f t="shared" si="83"/>
        <v>39.436579999999992</v>
      </c>
      <c r="W226" s="12">
        <f t="shared" si="70"/>
        <v>39.436579999999992</v>
      </c>
      <c r="X226" s="12">
        <f t="shared" si="71"/>
        <v>0</v>
      </c>
      <c r="Y226" s="20">
        <f t="shared" si="84"/>
        <v>12.021825901639346</v>
      </c>
      <c r="Z226" s="12">
        <f t="shared" si="85"/>
        <v>12.021825901639346</v>
      </c>
      <c r="AA226" s="12">
        <f t="shared" si="86"/>
        <v>0</v>
      </c>
      <c r="AB226" s="8">
        <v>6</v>
      </c>
      <c r="AC226" s="20">
        <f t="shared" si="72"/>
        <v>39816.666666666672</v>
      </c>
      <c r="AD226" s="20">
        <f t="shared" si="87"/>
        <v>35247.540983606559</v>
      </c>
      <c r="AE226" s="20">
        <f t="shared" si="73"/>
        <v>33243.903333333335</v>
      </c>
      <c r="AF226" s="21">
        <f t="shared" si="74"/>
        <v>6572.763333333336</v>
      </c>
      <c r="AG226" s="23">
        <f t="shared" si="75"/>
        <v>6.7777777777777777</v>
      </c>
      <c r="AH226" s="20">
        <f t="shared" si="76"/>
        <v>35247.540983606552</v>
      </c>
      <c r="AI226" s="20">
        <f t="shared" si="77"/>
        <v>29429.029180327871</v>
      </c>
      <c r="AJ226" s="20">
        <f t="shared" si="88"/>
        <v>5818.5118032786813</v>
      </c>
      <c r="AK226" s="47">
        <f t="shared" si="78"/>
        <v>1.1296296296296295</v>
      </c>
    </row>
    <row r="227" spans="1:37" x14ac:dyDescent="0.25">
      <c r="A227" s="8" t="s">
        <v>38</v>
      </c>
      <c r="B227" s="8" t="s">
        <v>263</v>
      </c>
      <c r="C227" s="8" t="s">
        <v>250</v>
      </c>
      <c r="D227" s="8">
        <v>3</v>
      </c>
      <c r="E227" s="8">
        <v>3</v>
      </c>
      <c r="F227" s="8">
        <v>1</v>
      </c>
      <c r="G227" s="8">
        <f t="shared" si="79"/>
        <v>7</v>
      </c>
      <c r="H227" s="8">
        <v>1</v>
      </c>
      <c r="K227" s="8">
        <f t="shared" si="80"/>
        <v>1</v>
      </c>
      <c r="L227" s="8">
        <v>1</v>
      </c>
      <c r="M227" s="8">
        <v>1</v>
      </c>
      <c r="N227" s="8">
        <v>0</v>
      </c>
      <c r="O227" s="8">
        <f t="shared" si="81"/>
        <v>2</v>
      </c>
      <c r="P227" s="31">
        <v>1.5</v>
      </c>
      <c r="Q227" s="31">
        <v>1.25</v>
      </c>
      <c r="R227" s="66">
        <f>IF(A227='Свод по районам'!$A$26,'Свод по районам'!$G$26,0)</f>
        <v>1.2475086652244958</v>
      </c>
      <c r="S227" s="76">
        <f>ROUND(((D227*$K$7+E227*$K$8+F227*$K$9)+(H227*$AA$7+I227*$AA$8+J227*$AA$9)+(L227*'по детям'!$K$10*0.2+M227*'по детям'!$K$11*0.2+N227*'по детям'!$K$12*0.2))*P227*Q227/1.302/12,1)</f>
        <v>424.9</v>
      </c>
      <c r="T227" s="12">
        <f t="shared" si="82"/>
        <v>352.17293023255814</v>
      </c>
      <c r="U227" s="11">
        <v>331.2672</v>
      </c>
      <c r="V227" s="12">
        <f t="shared" si="83"/>
        <v>93.632799999999975</v>
      </c>
      <c r="W227" s="12">
        <f t="shared" si="70"/>
        <v>93.632799999999975</v>
      </c>
      <c r="X227" s="12">
        <f t="shared" si="71"/>
        <v>0</v>
      </c>
      <c r="Y227" s="20">
        <f t="shared" si="84"/>
        <v>20.905730232558142</v>
      </c>
      <c r="Z227" s="12">
        <f t="shared" si="85"/>
        <v>20.905730232558142</v>
      </c>
      <c r="AA227" s="12">
        <f t="shared" si="86"/>
        <v>0</v>
      </c>
      <c r="AB227" s="8">
        <v>9.9</v>
      </c>
      <c r="AC227" s="20">
        <f t="shared" si="72"/>
        <v>42919.191919191915</v>
      </c>
      <c r="AD227" s="20">
        <f t="shared" si="87"/>
        <v>35573.023255813954</v>
      </c>
      <c r="AE227" s="20">
        <f t="shared" si="73"/>
        <v>33461.333333333336</v>
      </c>
      <c r="AF227" s="21">
        <f t="shared" si="74"/>
        <v>9457.8585858585793</v>
      </c>
      <c r="AG227" s="23">
        <f t="shared" si="75"/>
        <v>11.944444444444445</v>
      </c>
      <c r="AH227" s="20">
        <f t="shared" si="76"/>
        <v>35573.023255813954</v>
      </c>
      <c r="AI227" s="20">
        <f t="shared" si="77"/>
        <v>27733.998139534884</v>
      </c>
      <c r="AJ227" s="20">
        <f t="shared" si="88"/>
        <v>7839.0251162790701</v>
      </c>
      <c r="AK227" s="47">
        <f t="shared" si="78"/>
        <v>1.2065095398428731</v>
      </c>
    </row>
    <row r="228" spans="1:37" x14ac:dyDescent="0.25">
      <c r="A228" s="8" t="s">
        <v>38</v>
      </c>
      <c r="B228" s="8" t="s">
        <v>263</v>
      </c>
      <c r="C228" s="8" t="s">
        <v>251</v>
      </c>
      <c r="D228" s="8">
        <v>3</v>
      </c>
      <c r="E228" s="8">
        <v>5</v>
      </c>
      <c r="F228" s="8">
        <v>1</v>
      </c>
      <c r="G228" s="8">
        <f t="shared" si="79"/>
        <v>9</v>
      </c>
      <c r="H228" s="8">
        <v>1</v>
      </c>
      <c r="I228" s="8">
        <v>1</v>
      </c>
      <c r="K228" s="8">
        <f t="shared" si="80"/>
        <v>2</v>
      </c>
      <c r="L228" s="8">
        <v>2</v>
      </c>
      <c r="M228" s="8">
        <v>1</v>
      </c>
      <c r="N228" s="8">
        <v>0</v>
      </c>
      <c r="O228" s="8">
        <f t="shared" si="81"/>
        <v>3</v>
      </c>
      <c r="P228" s="31">
        <v>1.5</v>
      </c>
      <c r="Q228" s="31">
        <v>1.25</v>
      </c>
      <c r="R228" s="66">
        <f>IF(A228='Свод по районам'!$A$26,'Свод по районам'!$G$26,0)</f>
        <v>1.2475086652244958</v>
      </c>
      <c r="S228" s="76">
        <f>ROUND(((D228*$K$7+E228*$K$8+F228*$K$9)+(H228*$AA$7+I228*$AA$8+J228*$AA$9)+(L228*'по детям'!$K$10*0.2+M228*'по детям'!$K$11*0.2+N228*'по детям'!$K$12*0.2))*P228*Q228/1.302/12,1)</f>
        <v>572</v>
      </c>
      <c r="T228" s="12">
        <f t="shared" si="82"/>
        <v>387.86301369863014</v>
      </c>
      <c r="U228" s="11">
        <v>348.56890000000004</v>
      </c>
      <c r="V228" s="12">
        <f t="shared" si="83"/>
        <v>223.43109999999996</v>
      </c>
      <c r="W228" s="12">
        <f t="shared" si="70"/>
        <v>223.43109999999996</v>
      </c>
      <c r="X228" s="12">
        <f t="shared" si="71"/>
        <v>0</v>
      </c>
      <c r="Y228" s="20">
        <f t="shared" si="84"/>
        <v>39.294113698630099</v>
      </c>
      <c r="Z228" s="12">
        <f t="shared" si="85"/>
        <v>39.294113698630099</v>
      </c>
      <c r="AA228" s="12">
        <f t="shared" si="86"/>
        <v>0</v>
      </c>
      <c r="AB228" s="8">
        <v>11</v>
      </c>
      <c r="AC228" s="20">
        <f t="shared" si="72"/>
        <v>52000</v>
      </c>
      <c r="AD228" s="20">
        <f t="shared" si="87"/>
        <v>35260.273972602743</v>
      </c>
      <c r="AE228" s="20">
        <f t="shared" si="73"/>
        <v>31688.081818181821</v>
      </c>
      <c r="AF228" s="21">
        <f t="shared" si="74"/>
        <v>20311.918181818179</v>
      </c>
      <c r="AG228" s="23">
        <f t="shared" si="75"/>
        <v>16.222222222222221</v>
      </c>
      <c r="AH228" s="20">
        <f t="shared" si="76"/>
        <v>35260.273972602743</v>
      </c>
      <c r="AI228" s="20">
        <f t="shared" si="77"/>
        <v>21487.123972602742</v>
      </c>
      <c r="AJ228" s="20">
        <f t="shared" si="88"/>
        <v>13773.150000000001</v>
      </c>
      <c r="AK228" s="47">
        <f t="shared" si="78"/>
        <v>1.4747474747474747</v>
      </c>
    </row>
    <row r="229" spans="1:37" x14ac:dyDescent="0.25">
      <c r="A229" s="8" t="s">
        <v>38</v>
      </c>
      <c r="C229" s="8" t="s">
        <v>252</v>
      </c>
      <c r="D229" s="8">
        <v>4</v>
      </c>
      <c r="E229" s="8">
        <v>5</v>
      </c>
      <c r="F229" s="8">
        <v>1</v>
      </c>
      <c r="G229" s="8">
        <f t="shared" si="79"/>
        <v>10</v>
      </c>
      <c r="K229" s="8">
        <f t="shared" si="80"/>
        <v>0</v>
      </c>
      <c r="L229" s="8">
        <v>1</v>
      </c>
      <c r="M229" s="8">
        <v>1</v>
      </c>
      <c r="N229" s="8">
        <v>0</v>
      </c>
      <c r="O229" s="8">
        <f t="shared" si="81"/>
        <v>2</v>
      </c>
      <c r="P229" s="31">
        <v>1.5</v>
      </c>
      <c r="Q229" s="31">
        <v>1.25</v>
      </c>
      <c r="R229" s="66">
        <f>IF(A229='Свод по районам'!$A$26,'Свод по районам'!$G$26,0)</f>
        <v>1.2475086652244958</v>
      </c>
      <c r="S229" s="76">
        <f>ROUND(((D229*$K$7+E229*$K$8+F229*$K$9)+(H229*$AA$7+I229*$AA$8+J229*$AA$9)+(L229*'по детям'!$K$10*0.2+M229*'по детям'!$K$11*0.2+N229*'по детям'!$K$12*0.2))*P229*Q229/1.302/12,1)</f>
        <v>592.20000000000005</v>
      </c>
      <c r="T229" s="12">
        <f t="shared" si="82"/>
        <v>466.58181818181822</v>
      </c>
      <c r="U229" s="11">
        <v>318.23430000000002</v>
      </c>
      <c r="V229" s="12">
        <f t="shared" si="83"/>
        <v>273.96570000000003</v>
      </c>
      <c r="W229" s="12">
        <f t="shared" si="70"/>
        <v>273.96570000000003</v>
      </c>
      <c r="X229" s="12">
        <f t="shared" si="71"/>
        <v>0</v>
      </c>
      <c r="Y229" s="20">
        <f t="shared" si="84"/>
        <v>148.3475181818182</v>
      </c>
      <c r="Z229" s="12">
        <f t="shared" si="85"/>
        <v>148.3475181818182</v>
      </c>
      <c r="AA229" s="12">
        <f t="shared" si="86"/>
        <v>0</v>
      </c>
      <c r="AB229" s="8">
        <v>13</v>
      </c>
      <c r="AC229" s="20">
        <f t="shared" si="72"/>
        <v>45553.846153846156</v>
      </c>
      <c r="AD229" s="20">
        <f t="shared" si="87"/>
        <v>35890.909090909088</v>
      </c>
      <c r="AE229" s="20">
        <f t="shared" si="73"/>
        <v>24479.561538461538</v>
      </c>
      <c r="AF229" s="21">
        <f t="shared" si="74"/>
        <v>21074.284615384619</v>
      </c>
      <c r="AG229" s="23">
        <f t="shared" si="75"/>
        <v>16.5</v>
      </c>
      <c r="AH229" s="20">
        <f t="shared" si="76"/>
        <v>35890.909090909088</v>
      </c>
      <c r="AI229" s="20">
        <f t="shared" si="77"/>
        <v>19286.927272727273</v>
      </c>
      <c r="AJ229" s="20">
        <f t="shared" si="88"/>
        <v>16603.981818181815</v>
      </c>
      <c r="AK229" s="47">
        <f t="shared" si="78"/>
        <v>1.2692307692307692</v>
      </c>
    </row>
    <row r="230" spans="1:37" x14ac:dyDescent="0.25">
      <c r="A230" s="8" t="s">
        <v>38</v>
      </c>
      <c r="B230" s="8" t="s">
        <v>263</v>
      </c>
      <c r="C230" s="8" t="s">
        <v>253</v>
      </c>
      <c r="D230" s="8">
        <v>3</v>
      </c>
      <c r="E230" s="8">
        <v>3</v>
      </c>
      <c r="F230" s="8">
        <v>1</v>
      </c>
      <c r="G230" s="8">
        <f t="shared" si="79"/>
        <v>7</v>
      </c>
      <c r="H230" s="8">
        <v>1</v>
      </c>
      <c r="K230" s="8">
        <f t="shared" si="80"/>
        <v>1</v>
      </c>
      <c r="L230" s="8">
        <v>0</v>
      </c>
      <c r="M230" s="8">
        <v>2</v>
      </c>
      <c r="N230" s="8">
        <v>0</v>
      </c>
      <c r="O230" s="8">
        <f t="shared" si="81"/>
        <v>2</v>
      </c>
      <c r="P230" s="31">
        <v>1.5</v>
      </c>
      <c r="Q230" s="31">
        <v>1.25</v>
      </c>
      <c r="R230" s="66">
        <f>IF(A230='Свод по районам'!$A$26,'Свод по районам'!$G$26,0)</f>
        <v>1.2475086652244958</v>
      </c>
      <c r="S230" s="76">
        <f>ROUND(((D230*$K$7+E230*$K$8+F230*$K$9)+(H230*$AA$7+I230*$AA$8+J230*$AA$9)+(L230*'по детям'!$K$10*0.2+M230*'по детям'!$K$11*0.2+N230*'по детям'!$K$12*0.2))*P230*Q230/1.302/12,1)</f>
        <v>425.1</v>
      </c>
      <c r="T230" s="12">
        <f t="shared" si="82"/>
        <v>384.36948837209309</v>
      </c>
      <c r="U230" s="11">
        <v>298.16339999999997</v>
      </c>
      <c r="V230" s="12">
        <f t="shared" si="83"/>
        <v>126.93660000000006</v>
      </c>
      <c r="W230" s="12">
        <f t="shared" si="70"/>
        <v>126.93660000000006</v>
      </c>
      <c r="X230" s="12">
        <f t="shared" si="71"/>
        <v>0</v>
      </c>
      <c r="Y230" s="20">
        <f t="shared" si="84"/>
        <v>86.20608837209312</v>
      </c>
      <c r="Z230" s="12">
        <f t="shared" si="85"/>
        <v>86.20608837209312</v>
      </c>
      <c r="AA230" s="12">
        <f t="shared" si="86"/>
        <v>0</v>
      </c>
      <c r="AB230" s="8">
        <v>10.8</v>
      </c>
      <c r="AC230" s="20">
        <f t="shared" si="72"/>
        <v>39361.111111111109</v>
      </c>
      <c r="AD230" s="20">
        <f t="shared" si="87"/>
        <v>35589.767441860466</v>
      </c>
      <c r="AE230" s="20">
        <f t="shared" si="73"/>
        <v>27607.722222222219</v>
      </c>
      <c r="AF230" s="21">
        <f t="shared" si="74"/>
        <v>11753.388888888891</v>
      </c>
      <c r="AG230" s="23">
        <f t="shared" si="75"/>
        <v>11.944444444444445</v>
      </c>
      <c r="AH230" s="20">
        <f t="shared" si="76"/>
        <v>35589.767441860466</v>
      </c>
      <c r="AI230" s="20">
        <f t="shared" si="77"/>
        <v>24962.517209302325</v>
      </c>
      <c r="AJ230" s="20">
        <f t="shared" si="88"/>
        <v>10627.250232558141</v>
      </c>
      <c r="AK230" s="47">
        <f t="shared" si="78"/>
        <v>1.1059670781893003</v>
      </c>
    </row>
    <row r="231" spans="1:37" x14ac:dyDescent="0.25">
      <c r="A231" s="8" t="s">
        <v>38</v>
      </c>
      <c r="B231" s="8" t="s">
        <v>263</v>
      </c>
      <c r="C231" s="8" t="s">
        <v>254</v>
      </c>
      <c r="D231" s="8">
        <v>2</v>
      </c>
      <c r="E231" s="8">
        <v>3</v>
      </c>
      <c r="F231" s="8">
        <v>1</v>
      </c>
      <c r="G231" s="8">
        <f t="shared" si="79"/>
        <v>6</v>
      </c>
      <c r="K231" s="8">
        <f t="shared" si="80"/>
        <v>0</v>
      </c>
      <c r="L231" s="8">
        <v>1</v>
      </c>
      <c r="M231" s="8">
        <v>0</v>
      </c>
      <c r="N231" s="8">
        <v>0</v>
      </c>
      <c r="O231" s="8">
        <f t="shared" si="81"/>
        <v>1</v>
      </c>
      <c r="P231" s="31">
        <v>1.5</v>
      </c>
      <c r="Q231" s="31">
        <v>1.25</v>
      </c>
      <c r="R231" s="66">
        <f>IF(A231='Свод по районам'!$A$26,'Свод по районам'!$G$26,0)</f>
        <v>1.2475086652244958</v>
      </c>
      <c r="S231" s="76">
        <f>ROUND(((D231*$K$7+E231*$K$8+F231*$K$9)+(H231*$AA$7+I231*$AA$8+J231*$AA$9)+(L231*'по детям'!$K$10*0.2+M231*'по детям'!$K$11*0.2+N231*'по детям'!$K$12*0.2))*P231*Q231/1.302/12,1)</f>
        <v>364.4</v>
      </c>
      <c r="T231" s="12">
        <f t="shared" si="82"/>
        <v>250.89836065573769</v>
      </c>
      <c r="U231" s="11">
        <v>284.00900000000001</v>
      </c>
      <c r="V231" s="12">
        <f t="shared" si="83"/>
        <v>80.390999999999963</v>
      </c>
      <c r="W231" s="12">
        <f t="shared" si="70"/>
        <v>80.390999999999963</v>
      </c>
      <c r="X231" s="12">
        <f t="shared" si="71"/>
        <v>0</v>
      </c>
      <c r="Y231" s="20">
        <f t="shared" si="84"/>
        <v>-33.110639344262324</v>
      </c>
      <c r="Z231" s="12">
        <f t="shared" si="85"/>
        <v>0</v>
      </c>
      <c r="AA231" s="12">
        <f t="shared" si="86"/>
        <v>-33.110639344262324</v>
      </c>
      <c r="AB231" s="8">
        <v>7</v>
      </c>
      <c r="AC231" s="20">
        <f t="shared" si="72"/>
        <v>52057.142857142855</v>
      </c>
      <c r="AD231" s="20">
        <f t="shared" si="87"/>
        <v>35842.62295081967</v>
      </c>
      <c r="AE231" s="20">
        <f t="shared" si="73"/>
        <v>40572.71428571429</v>
      </c>
      <c r="AF231" s="21">
        <f t="shared" si="74"/>
        <v>11484.428571428565</v>
      </c>
      <c r="AG231" s="23">
        <f t="shared" si="75"/>
        <v>10.166666666666666</v>
      </c>
      <c r="AH231" s="20">
        <f t="shared" si="76"/>
        <v>35842.622950819677</v>
      </c>
      <c r="AI231" s="20">
        <f t="shared" si="77"/>
        <v>27935.311475409839</v>
      </c>
      <c r="AJ231" s="20">
        <f t="shared" si="88"/>
        <v>7907.3114754098387</v>
      </c>
      <c r="AK231" s="47">
        <f t="shared" si="78"/>
        <v>1.4523809523809523</v>
      </c>
    </row>
    <row r="232" spans="1:37" x14ac:dyDescent="0.25">
      <c r="A232" s="8" t="s">
        <v>38</v>
      </c>
      <c r="B232" s="8" t="s">
        <v>263</v>
      </c>
      <c r="C232" s="8" t="s">
        <v>255</v>
      </c>
      <c r="D232" s="8">
        <v>2</v>
      </c>
      <c r="E232" s="8">
        <v>2</v>
      </c>
      <c r="G232" s="8">
        <f t="shared" si="79"/>
        <v>4</v>
      </c>
      <c r="K232" s="8">
        <f t="shared" si="80"/>
        <v>0</v>
      </c>
      <c r="L232" s="8">
        <v>0</v>
      </c>
      <c r="M232" s="8">
        <v>1</v>
      </c>
      <c r="N232" s="8">
        <v>0</v>
      </c>
      <c r="O232" s="8">
        <f t="shared" si="81"/>
        <v>1</v>
      </c>
      <c r="P232" s="31">
        <v>1.5</v>
      </c>
      <c r="Q232" s="31">
        <v>1.25</v>
      </c>
      <c r="R232" s="66">
        <f>IF(A232='Свод по районам'!$A$26,'Свод по районам'!$G$26,0)</f>
        <v>1.2475086652244958</v>
      </c>
      <c r="S232" s="76">
        <f>ROUND(((D232*$K$7+E232*$K$8+F232*$K$9)+(H232*$AA$7+I232*$AA$8+J232*$AA$9)+(L232*'по детям'!$K$10*0.2+M232*'по детям'!$K$11*0.2+N232*'по детям'!$K$12*0.2))*P232*Q232/1.302/12,1)</f>
        <v>227.8</v>
      </c>
      <c r="T232" s="12">
        <f t="shared" si="82"/>
        <v>190.63263157894738</v>
      </c>
      <c r="U232" s="11">
        <v>195.76539999999997</v>
      </c>
      <c r="V232" s="12">
        <f t="shared" si="83"/>
        <v>32.03460000000004</v>
      </c>
      <c r="W232" s="12">
        <f t="shared" si="70"/>
        <v>32.03460000000004</v>
      </c>
      <c r="X232" s="12">
        <f t="shared" si="71"/>
        <v>0</v>
      </c>
      <c r="Y232" s="20">
        <f t="shared" si="84"/>
        <v>-5.1327684210525888</v>
      </c>
      <c r="Z232" s="12">
        <f t="shared" si="85"/>
        <v>0</v>
      </c>
      <c r="AA232" s="12">
        <f t="shared" si="86"/>
        <v>-5.1327684210525888</v>
      </c>
      <c r="AB232" s="8">
        <v>5.3</v>
      </c>
      <c r="AC232" s="20">
        <f t="shared" si="72"/>
        <v>42981.132075471702</v>
      </c>
      <c r="AD232" s="20">
        <f t="shared" si="87"/>
        <v>35968.421052631587</v>
      </c>
      <c r="AE232" s="20">
        <f t="shared" si="73"/>
        <v>36936.867924528298</v>
      </c>
      <c r="AF232" s="21">
        <f t="shared" si="74"/>
        <v>6044.2641509434034</v>
      </c>
      <c r="AG232" s="23">
        <f t="shared" si="75"/>
        <v>6.333333333333333</v>
      </c>
      <c r="AH232" s="20">
        <f t="shared" si="76"/>
        <v>35968.421052631587</v>
      </c>
      <c r="AI232" s="20">
        <f t="shared" si="77"/>
        <v>30910.326315789473</v>
      </c>
      <c r="AJ232" s="20">
        <f t="shared" si="88"/>
        <v>5058.0947368421148</v>
      </c>
      <c r="AK232" s="47">
        <f t="shared" si="78"/>
        <v>1.1949685534591195</v>
      </c>
    </row>
    <row r="233" spans="1:37" x14ac:dyDescent="0.25">
      <c r="A233" s="8" t="s">
        <v>38</v>
      </c>
      <c r="B233" s="8" t="s">
        <v>263</v>
      </c>
      <c r="C233" s="8" t="s">
        <v>256</v>
      </c>
      <c r="D233" s="8">
        <v>2</v>
      </c>
      <c r="E233" s="8">
        <v>3</v>
      </c>
      <c r="G233" s="8">
        <f t="shared" si="79"/>
        <v>5</v>
      </c>
      <c r="K233" s="8">
        <f t="shared" si="80"/>
        <v>0</v>
      </c>
      <c r="L233" s="8">
        <v>0</v>
      </c>
      <c r="M233" s="8">
        <v>0</v>
      </c>
      <c r="N233" s="8">
        <v>0</v>
      </c>
      <c r="O233" s="8">
        <f t="shared" si="81"/>
        <v>0</v>
      </c>
      <c r="P233" s="31">
        <v>1.5</v>
      </c>
      <c r="Q233" s="31">
        <v>1.25</v>
      </c>
      <c r="R233" s="66">
        <f>IF(A233='Свод по районам'!$A$26,'Свод по районам'!$G$26,0)</f>
        <v>1.2475086652244958</v>
      </c>
      <c r="S233" s="76">
        <f>ROUND(((D233*$K$7+E233*$K$8+F233*$K$9)+(H233*$AA$7+I233*$AA$8+J233*$AA$9)+(L233*'по детям'!$K$10*0.2+M233*'по детям'!$K$11*0.2+N233*'по детям'!$K$12*0.2))*P233*Q233/1.302/12,1)</f>
        <v>292.60000000000002</v>
      </c>
      <c r="T233" s="12">
        <f t="shared" si="82"/>
        <v>279.46285714285716</v>
      </c>
      <c r="U233" s="11">
        <v>251.92660999999998</v>
      </c>
      <c r="V233" s="12">
        <f t="shared" si="83"/>
        <v>40.67339000000004</v>
      </c>
      <c r="W233" s="12">
        <f t="shared" si="70"/>
        <v>40.67339000000004</v>
      </c>
      <c r="X233" s="12">
        <f t="shared" si="71"/>
        <v>0</v>
      </c>
      <c r="Y233" s="20">
        <f t="shared" si="84"/>
        <v>27.536247142857178</v>
      </c>
      <c r="Z233" s="12">
        <f t="shared" si="85"/>
        <v>27.536247142857178</v>
      </c>
      <c r="AA233" s="12">
        <f t="shared" si="86"/>
        <v>0</v>
      </c>
      <c r="AB233" s="8">
        <v>7.8</v>
      </c>
      <c r="AC233" s="20">
        <f t="shared" si="72"/>
        <v>37512.820512820515</v>
      </c>
      <c r="AD233" s="20">
        <f t="shared" si="87"/>
        <v>35828.571428571428</v>
      </c>
      <c r="AE233" s="20">
        <f t="shared" si="73"/>
        <v>32298.283333333329</v>
      </c>
      <c r="AF233" s="21">
        <f t="shared" si="74"/>
        <v>5214.5371794871862</v>
      </c>
      <c r="AG233" s="23">
        <f t="shared" si="75"/>
        <v>8.1666666666666661</v>
      </c>
      <c r="AH233" s="20">
        <f t="shared" si="76"/>
        <v>35828.571428571435</v>
      </c>
      <c r="AI233" s="20">
        <f t="shared" si="77"/>
        <v>30848.156326530614</v>
      </c>
      <c r="AJ233" s="20">
        <f t="shared" si="88"/>
        <v>4980.4151020408208</v>
      </c>
      <c r="AK233" s="47">
        <f t="shared" si="78"/>
        <v>1.0470085470085471</v>
      </c>
    </row>
    <row r="234" spans="1:37" x14ac:dyDescent="0.25">
      <c r="A234" s="8" t="s">
        <v>38</v>
      </c>
      <c r="B234" s="8" t="s">
        <v>263</v>
      </c>
      <c r="C234" s="8" t="s">
        <v>257</v>
      </c>
      <c r="D234" s="8">
        <v>2</v>
      </c>
      <c r="E234" s="8">
        <v>3</v>
      </c>
      <c r="G234" s="8">
        <f t="shared" si="79"/>
        <v>5</v>
      </c>
      <c r="K234" s="8">
        <f t="shared" si="80"/>
        <v>0</v>
      </c>
      <c r="L234" s="8">
        <v>1</v>
      </c>
      <c r="M234" s="8">
        <v>1</v>
      </c>
      <c r="N234" s="8">
        <v>0</v>
      </c>
      <c r="O234" s="8">
        <f t="shared" si="81"/>
        <v>2</v>
      </c>
      <c r="P234" s="31">
        <v>1.5</v>
      </c>
      <c r="Q234" s="31">
        <v>1.25</v>
      </c>
      <c r="R234" s="66">
        <f>IF(A234='Свод по районам'!$A$26,'Свод по районам'!$G$26,0)</f>
        <v>1.2475086652244958</v>
      </c>
      <c r="S234" s="76">
        <f>ROUND(((D234*$K$7+E234*$K$8+F234*$K$9)+(H234*$AA$7+I234*$AA$8+J234*$AA$9)+(L234*'по детям'!$K$10*0.2+M234*'по детям'!$K$11*0.2+N234*'по детям'!$K$12*0.2))*P234*Q234/1.302/12,1)</f>
        <v>293.7</v>
      </c>
      <c r="T234" s="12">
        <f t="shared" si="82"/>
        <v>215.77959183673471</v>
      </c>
      <c r="U234" s="11">
        <v>208.99680000000001</v>
      </c>
      <c r="V234" s="12">
        <f t="shared" si="83"/>
        <v>84.703199999999981</v>
      </c>
      <c r="W234" s="12">
        <f t="shared" si="70"/>
        <v>84.703199999999981</v>
      </c>
      <c r="X234" s="12">
        <f t="shared" si="71"/>
        <v>0</v>
      </c>
      <c r="Y234" s="20">
        <f t="shared" si="84"/>
        <v>6.7827918367347024</v>
      </c>
      <c r="Z234" s="12">
        <f t="shared" si="85"/>
        <v>6.7827918367347024</v>
      </c>
      <c r="AA234" s="12">
        <f t="shared" si="86"/>
        <v>0</v>
      </c>
      <c r="AB234" s="8">
        <v>6</v>
      </c>
      <c r="AC234" s="20">
        <f t="shared" si="72"/>
        <v>48949.999999999993</v>
      </c>
      <c r="AD234" s="20">
        <f t="shared" si="87"/>
        <v>35963.265306122448</v>
      </c>
      <c r="AE234" s="20">
        <f t="shared" si="73"/>
        <v>34832.799999999996</v>
      </c>
      <c r="AF234" s="21">
        <f t="shared" si="74"/>
        <v>14117.199999999997</v>
      </c>
      <c r="AG234" s="23">
        <f t="shared" si="75"/>
        <v>8.1666666666666661</v>
      </c>
      <c r="AH234" s="20">
        <f t="shared" si="76"/>
        <v>35963.265306122448</v>
      </c>
      <c r="AI234" s="20">
        <f t="shared" si="77"/>
        <v>25591.444897959187</v>
      </c>
      <c r="AJ234" s="20">
        <f t="shared" si="88"/>
        <v>10371.820408163261</v>
      </c>
      <c r="AK234" s="47">
        <f t="shared" si="78"/>
        <v>1.3611111111111109</v>
      </c>
    </row>
    <row r="235" spans="1:37" x14ac:dyDescent="0.25">
      <c r="A235" s="8" t="s">
        <v>38</v>
      </c>
      <c r="B235" s="8" t="s">
        <v>263</v>
      </c>
      <c r="C235" s="8" t="s">
        <v>258</v>
      </c>
      <c r="D235" s="8">
        <v>2</v>
      </c>
      <c r="E235" s="8">
        <v>4</v>
      </c>
      <c r="F235" s="8">
        <v>1</v>
      </c>
      <c r="G235" s="8">
        <f t="shared" si="79"/>
        <v>7</v>
      </c>
      <c r="K235" s="8">
        <f t="shared" si="80"/>
        <v>0</v>
      </c>
      <c r="L235" s="8">
        <v>0</v>
      </c>
      <c r="M235" s="8">
        <v>0</v>
      </c>
      <c r="N235" s="8">
        <v>0</v>
      </c>
      <c r="O235" s="8">
        <f t="shared" si="81"/>
        <v>0</v>
      </c>
      <c r="P235" s="31">
        <v>1.5</v>
      </c>
      <c r="Q235" s="31">
        <v>1.25</v>
      </c>
      <c r="R235" s="66">
        <f>IF(A235='Свод по районам'!$A$26,'Свод по районам'!$G$26,0)</f>
        <v>1.2475086652244958</v>
      </c>
      <c r="S235" s="76">
        <f>ROUND(((D235*$K$7+E235*$K$8+F235*$K$9)+(H235*$AA$7+I235*$AA$8+J235*$AA$9)+(L235*'по детям'!$K$10*0.2+M235*'по детям'!$K$11*0.2+N235*'по детям'!$K$12*0.2))*P235*Q235/1.302/12,1)</f>
        <v>429.3</v>
      </c>
      <c r="T235" s="12">
        <f t="shared" si="82"/>
        <v>293.35499999999996</v>
      </c>
      <c r="U235" s="11">
        <v>270.03900000000004</v>
      </c>
      <c r="V235" s="12">
        <f t="shared" si="83"/>
        <v>159.26099999999997</v>
      </c>
      <c r="W235" s="12">
        <f t="shared" si="70"/>
        <v>159.26099999999997</v>
      </c>
      <c r="X235" s="12">
        <f t="shared" si="71"/>
        <v>0</v>
      </c>
      <c r="Y235" s="20">
        <f t="shared" si="84"/>
        <v>23.315999999999917</v>
      </c>
      <c r="Z235" s="12">
        <f t="shared" si="85"/>
        <v>23.315999999999917</v>
      </c>
      <c r="AA235" s="12">
        <f t="shared" si="86"/>
        <v>0</v>
      </c>
      <c r="AB235" s="8">
        <v>8.1999999999999993</v>
      </c>
      <c r="AC235" s="20">
        <f t="shared" si="72"/>
        <v>52353.658536585368</v>
      </c>
      <c r="AD235" s="20">
        <f t="shared" si="87"/>
        <v>35775</v>
      </c>
      <c r="AE235" s="20">
        <f t="shared" si="73"/>
        <v>32931.585365853665</v>
      </c>
      <c r="AF235" s="21">
        <f t="shared" si="74"/>
        <v>19422.073170731703</v>
      </c>
      <c r="AG235" s="23">
        <f t="shared" si="75"/>
        <v>12</v>
      </c>
      <c r="AH235" s="20">
        <f t="shared" si="76"/>
        <v>35775</v>
      </c>
      <c r="AI235" s="20">
        <f t="shared" si="77"/>
        <v>22503.250000000004</v>
      </c>
      <c r="AJ235" s="20">
        <f t="shared" si="88"/>
        <v>13271.749999999996</v>
      </c>
      <c r="AK235" s="47">
        <f t="shared" si="78"/>
        <v>1.4634146341463417</v>
      </c>
    </row>
    <row r="236" spans="1:37" x14ac:dyDescent="0.25">
      <c r="A236" s="8" t="s">
        <v>38</v>
      </c>
      <c r="B236" s="8" t="s">
        <v>263</v>
      </c>
      <c r="C236" s="8" t="s">
        <v>259</v>
      </c>
      <c r="D236" s="8">
        <v>1</v>
      </c>
      <c r="G236" s="8">
        <f t="shared" si="79"/>
        <v>1</v>
      </c>
      <c r="K236" s="8">
        <f t="shared" si="80"/>
        <v>0</v>
      </c>
      <c r="L236" s="8">
        <v>0</v>
      </c>
      <c r="M236" s="8">
        <v>0</v>
      </c>
      <c r="N236" s="8">
        <v>0</v>
      </c>
      <c r="O236" s="8">
        <f t="shared" si="81"/>
        <v>0</v>
      </c>
      <c r="P236" s="31">
        <v>1.5</v>
      </c>
      <c r="Q236" s="31">
        <v>1.25</v>
      </c>
      <c r="R236" s="66">
        <f>IF(A236='Свод по районам'!$A$26,'Свод по районам'!$G$26,0)</f>
        <v>1.2475086652244958</v>
      </c>
      <c r="S236" s="76">
        <f>ROUND(((D236*$K$7+E236*$K$8+F236*$K$9)+(H236*$AA$7+I236*$AA$8+J236*$AA$9)+(L236*'по детям'!$K$10*0.2+M236*'по детям'!$K$11*0.2+N236*'по детям'!$K$12*0.2))*P236*Q236/1.302/12,1)</f>
        <v>48.2</v>
      </c>
      <c r="T236" s="12">
        <f t="shared" si="82"/>
        <v>65.070000000000007</v>
      </c>
      <c r="U236" s="11">
        <v>48.7</v>
      </c>
      <c r="V236" s="12">
        <f t="shared" si="83"/>
        <v>-0.5</v>
      </c>
      <c r="W236" s="12">
        <f t="shared" si="70"/>
        <v>0</v>
      </c>
      <c r="X236" s="12">
        <f t="shared" si="71"/>
        <v>-0.5</v>
      </c>
      <c r="Y236" s="20">
        <f t="shared" si="84"/>
        <v>16.370000000000005</v>
      </c>
      <c r="Z236" s="12">
        <f t="shared" si="85"/>
        <v>16.370000000000005</v>
      </c>
      <c r="AA236" s="12">
        <f t="shared" si="86"/>
        <v>0</v>
      </c>
      <c r="AB236" s="8">
        <v>1.8</v>
      </c>
      <c r="AC236" s="20">
        <f t="shared" si="72"/>
        <v>26777.777777777777</v>
      </c>
      <c r="AD236" s="20">
        <f t="shared" si="87"/>
        <v>36150.000000000007</v>
      </c>
      <c r="AE236" s="20">
        <f t="shared" si="73"/>
        <v>27055.555555555558</v>
      </c>
      <c r="AF236" s="21">
        <f t="shared" si="74"/>
        <v>-277.77777777778101</v>
      </c>
      <c r="AG236" s="23">
        <f t="shared" si="75"/>
        <v>1.3333333333333333</v>
      </c>
      <c r="AH236" s="20">
        <f t="shared" si="76"/>
        <v>36150.000000000007</v>
      </c>
      <c r="AI236" s="20">
        <f t="shared" si="77"/>
        <v>36525.000000000007</v>
      </c>
      <c r="AJ236" s="20">
        <f t="shared" si="88"/>
        <v>-375</v>
      </c>
      <c r="AK236" s="47">
        <f t="shared" si="78"/>
        <v>0.7407407407407407</v>
      </c>
    </row>
    <row r="237" spans="1:37" x14ac:dyDescent="0.25">
      <c r="A237" s="8" t="s">
        <v>38</v>
      </c>
      <c r="B237" s="8" t="s">
        <v>263</v>
      </c>
      <c r="C237" s="8" t="s">
        <v>260</v>
      </c>
      <c r="D237" s="8">
        <v>2</v>
      </c>
      <c r="E237" s="8">
        <v>3</v>
      </c>
      <c r="G237" s="8">
        <f t="shared" si="79"/>
        <v>5</v>
      </c>
      <c r="K237" s="8">
        <f t="shared" si="80"/>
        <v>0</v>
      </c>
      <c r="L237" s="8">
        <v>0</v>
      </c>
      <c r="M237" s="8">
        <v>0</v>
      </c>
      <c r="N237" s="8">
        <v>0</v>
      </c>
      <c r="O237" s="8">
        <f t="shared" si="81"/>
        <v>0</v>
      </c>
      <c r="P237" s="31">
        <v>1.5</v>
      </c>
      <c r="Q237" s="31">
        <v>1.25</v>
      </c>
      <c r="R237" s="66">
        <f>IF(A237='Свод по районам'!$A$26,'Свод по районам'!$G$26,0)</f>
        <v>1.2475086652244958</v>
      </c>
      <c r="S237" s="76">
        <f>ROUND(((D237*$K$7+E237*$K$8+F237*$K$9)+(H237*$AA$7+I237*$AA$8+J237*$AA$9)+(L237*'по детям'!$K$10*0.2+M237*'по детям'!$K$11*0.2+N237*'по детям'!$K$12*0.2))*P237*Q237/1.302/12,1)</f>
        <v>292.60000000000002</v>
      </c>
      <c r="T237" s="12">
        <f t="shared" si="82"/>
        <v>200.64000000000001</v>
      </c>
      <c r="U237" s="11">
        <v>216.67860000000002</v>
      </c>
      <c r="V237" s="12">
        <f t="shared" si="83"/>
        <v>75.921400000000006</v>
      </c>
      <c r="W237" s="12">
        <f t="shared" si="70"/>
        <v>75.921400000000006</v>
      </c>
      <c r="X237" s="12">
        <f t="shared" si="71"/>
        <v>0</v>
      </c>
      <c r="Y237" s="20">
        <f t="shared" si="84"/>
        <v>-16.038600000000002</v>
      </c>
      <c r="Z237" s="12">
        <f t="shared" si="85"/>
        <v>0</v>
      </c>
      <c r="AA237" s="12">
        <f t="shared" si="86"/>
        <v>-16.038600000000002</v>
      </c>
      <c r="AB237" s="8">
        <v>5.6</v>
      </c>
      <c r="AC237" s="20">
        <f t="shared" si="72"/>
        <v>52250.000000000007</v>
      </c>
      <c r="AD237" s="20">
        <f t="shared" si="87"/>
        <v>35828.571428571435</v>
      </c>
      <c r="AE237" s="20">
        <f t="shared" si="73"/>
        <v>38692.607142857152</v>
      </c>
      <c r="AF237" s="21">
        <f t="shared" si="74"/>
        <v>13557.392857142855</v>
      </c>
      <c r="AG237" s="23">
        <f t="shared" si="75"/>
        <v>8.1666666666666661</v>
      </c>
      <c r="AH237" s="20">
        <f t="shared" si="76"/>
        <v>35828.571428571435</v>
      </c>
      <c r="AI237" s="20">
        <f t="shared" si="77"/>
        <v>26532.073469387757</v>
      </c>
      <c r="AJ237" s="20">
        <f t="shared" si="88"/>
        <v>9296.4979591836782</v>
      </c>
      <c r="AK237" s="47">
        <f t="shared" si="78"/>
        <v>1.4583333333333333</v>
      </c>
    </row>
    <row r="238" spans="1:37" s="13" customFormat="1" x14ac:dyDescent="0.25">
      <c r="C238" s="13" t="s">
        <v>268</v>
      </c>
      <c r="D238" s="14">
        <f t="shared" ref="D238:O238" si="89">SUM(D14:D237)</f>
        <v>595</v>
      </c>
      <c r="E238" s="14">
        <f t="shared" si="89"/>
        <v>660</v>
      </c>
      <c r="F238" s="14">
        <f t="shared" si="89"/>
        <v>129</v>
      </c>
      <c r="G238" s="14">
        <f t="shared" si="89"/>
        <v>1384</v>
      </c>
      <c r="H238" s="14">
        <f t="shared" si="89"/>
        <v>80</v>
      </c>
      <c r="I238" s="14">
        <f t="shared" si="89"/>
        <v>51</v>
      </c>
      <c r="J238" s="14">
        <f t="shared" si="89"/>
        <v>0</v>
      </c>
      <c r="K238" s="14">
        <f t="shared" si="89"/>
        <v>131</v>
      </c>
      <c r="L238" s="14">
        <f t="shared" si="89"/>
        <v>174</v>
      </c>
      <c r="M238" s="14">
        <f t="shared" si="89"/>
        <v>123</v>
      </c>
      <c r="N238" s="14">
        <f t="shared" si="89"/>
        <v>3</v>
      </c>
      <c r="O238" s="14">
        <f t="shared" si="89"/>
        <v>300</v>
      </c>
      <c r="Q238" s="31"/>
      <c r="R238" s="31"/>
      <c r="S238" s="14">
        <f t="shared" ref="S238:AB238" si="90">SUM(S14:S237)</f>
        <v>85857.600000000079</v>
      </c>
      <c r="T238" s="14">
        <f t="shared" si="90"/>
        <v>60767.481498155801</v>
      </c>
      <c r="U238" s="14">
        <f t="shared" si="90"/>
        <v>54249.276459999979</v>
      </c>
      <c r="V238" s="14">
        <f t="shared" si="90"/>
        <v>31608.323539999987</v>
      </c>
      <c r="W238" s="14">
        <f t="shared" si="90"/>
        <v>31759.983539999983</v>
      </c>
      <c r="X238" s="14">
        <f t="shared" si="90"/>
        <v>-151.66000000000003</v>
      </c>
      <c r="Y238" s="14">
        <f t="shared" si="90"/>
        <v>6518.2050381557874</v>
      </c>
      <c r="Z238" s="14">
        <f t="shared" si="90"/>
        <v>9142.7526699787886</v>
      </c>
      <c r="AA238" s="14">
        <f t="shared" si="90"/>
        <v>-2624.5476318229994</v>
      </c>
      <c r="AB238" s="13">
        <f t="shared" si="90"/>
        <v>1638.7999999999995</v>
      </c>
      <c r="AC238" s="20">
        <f t="shared" si="72"/>
        <v>52390.529655845807</v>
      </c>
      <c r="AD238" s="20">
        <f t="shared" si="87"/>
        <v>37080.474431386268</v>
      </c>
      <c r="AE238" s="20">
        <f t="shared" si="73"/>
        <v>33103.048852819134</v>
      </c>
      <c r="AF238" s="21">
        <f t="shared" si="74"/>
        <v>19287.480803026672</v>
      </c>
      <c r="AG238" s="13">
        <f>SUM(AG14:AG237)</f>
        <v>2328.0555555555543</v>
      </c>
      <c r="AH238" s="20">
        <f>S238/AG238*1000</f>
        <v>36879.532275384852</v>
      </c>
      <c r="AI238" s="20">
        <f t="shared" si="77"/>
        <v>23302.397715785708</v>
      </c>
      <c r="AJ238" s="20">
        <f t="shared" si="88"/>
        <v>13577.134559599144</v>
      </c>
      <c r="AK238" s="47">
        <f t="shared" si="78"/>
        <v>1.4205855232826183</v>
      </c>
    </row>
    <row r="239" spans="1:37" x14ac:dyDescent="0.25">
      <c r="Q239" s="31"/>
      <c r="R239" s="31"/>
      <c r="S239" s="17">
        <f t="shared" ref="S239:AA239" si="91">S238*12*1.302</f>
        <v>1341439.1424000012</v>
      </c>
      <c r="T239" s="17">
        <f t="shared" si="91"/>
        <v>949431.13092718623</v>
      </c>
      <c r="U239" s="17">
        <f t="shared" si="91"/>
        <v>847590.69541103975</v>
      </c>
      <c r="V239" s="17">
        <f t="shared" si="91"/>
        <v>493848.44698895985</v>
      </c>
      <c r="W239" s="12">
        <f t="shared" si="91"/>
        <v>496217.98282895971</v>
      </c>
      <c r="X239" s="12">
        <f t="shared" si="91"/>
        <v>-2369.5358400000005</v>
      </c>
      <c r="Y239" s="12">
        <f t="shared" si="91"/>
        <v>101840.43551614604</v>
      </c>
      <c r="Z239" s="12">
        <f t="shared" si="91"/>
        <v>142846.36771574861</v>
      </c>
      <c r="AA239" s="12">
        <f t="shared" si="91"/>
        <v>-41005.932199602546</v>
      </c>
      <c r="AH239" s="8">
        <v>35006</v>
      </c>
    </row>
    <row r="240" spans="1:37" x14ac:dyDescent="0.25">
      <c r="F240" s="8">
        <f>11814+39+47</f>
        <v>11900</v>
      </c>
      <c r="G240" s="8">
        <f>F240*1.5</f>
        <v>17850</v>
      </c>
      <c r="Q240" s="31"/>
      <c r="R240" s="31"/>
      <c r="S240" s="19">
        <f>S239*1.25</f>
        <v>1676798.9280000015</v>
      </c>
      <c r="T240" s="19">
        <f>T239*1.25</f>
        <v>1186788.9136589828</v>
      </c>
      <c r="W240" s="23">
        <f>W239/12*4</f>
        <v>165405.99427631989</v>
      </c>
      <c r="X240" s="23">
        <f>X239/12*4</f>
        <v>-789.84528000000012</v>
      </c>
      <c r="Y240" s="47">
        <f>Y239/12*4</f>
        <v>33946.811838715344</v>
      </c>
      <c r="Z240" s="23">
        <f>Z239/12*4</f>
        <v>47615.455905249539</v>
      </c>
      <c r="AA240" s="23">
        <f>AA239/12*4</f>
        <v>-13668.644066534182</v>
      </c>
      <c r="AH240" s="85">
        <f>AH238/AH239</f>
        <v>1.0535203186706523</v>
      </c>
    </row>
    <row r="241" spans="17:20" x14ac:dyDescent="0.25">
      <c r="Q241" s="31"/>
      <c r="R241" s="31"/>
      <c r="S241" s="19">
        <f>S240+G240</f>
        <v>1694648.9280000015</v>
      </c>
      <c r="T241" s="19">
        <f>T240+G240</f>
        <v>1204638.9136589828</v>
      </c>
    </row>
  </sheetData>
  <autoFilter ref="A13:AI241"/>
  <customSheetViews>
    <customSheetView guid="{4133D4E7-E8A6-4C76-8386-CAD92A178FB1}" scale="80" showAutoFilter="1">
      <pane xSplit="3" ySplit="13" topLeftCell="L218" activePane="bottomRight" state="frozen"/>
      <selection pane="bottomRight" activeCell="C14" sqref="C14:C235"/>
      <pageMargins left="0.7" right="0.7" top="0.75" bottom="0.75" header="0.3" footer="0.3"/>
      <autoFilter ref="A13:AI239"/>
    </customSheetView>
    <customSheetView guid="{E6CA5BE8-E4DB-45B9-BD02-6D0572E660A3}" scale="80" showAutoFilter="1">
      <pane xSplit="3" ySplit="13" topLeftCell="AB225" activePane="bottomRight" state="frozen"/>
      <selection pane="bottomRight" activeCell="AB58" sqref="AB58"/>
      <pageMargins left="0.7" right="0.7" top="0.75" bottom="0.75" header="0.3" footer="0.3"/>
      <autoFilter ref="A13:AI239"/>
    </customSheetView>
  </customSheetViews>
  <mergeCells count="31">
    <mergeCell ref="X12:X13"/>
    <mergeCell ref="A9:C9"/>
    <mergeCell ref="C2:M2"/>
    <mergeCell ref="A4:C6"/>
    <mergeCell ref="A8:C8"/>
    <mergeCell ref="A7:C7"/>
    <mergeCell ref="D4:K5"/>
    <mergeCell ref="C12:C13"/>
    <mergeCell ref="B12:B13"/>
    <mergeCell ref="A12:A13"/>
    <mergeCell ref="S12:S13"/>
    <mergeCell ref="T12:T13"/>
    <mergeCell ref="Q12:Q13"/>
    <mergeCell ref="D12:G12"/>
    <mergeCell ref="H12:K12"/>
    <mergeCell ref="AK12:AK13"/>
    <mergeCell ref="R12:R13"/>
    <mergeCell ref="T4:AA5"/>
    <mergeCell ref="O2:AE2"/>
    <mergeCell ref="O4:S6"/>
    <mergeCell ref="O7:S7"/>
    <mergeCell ref="O8:S8"/>
    <mergeCell ref="L12:O12"/>
    <mergeCell ref="P12:P13"/>
    <mergeCell ref="Y12:Y13"/>
    <mergeCell ref="Z12:Z13"/>
    <mergeCell ref="AA12:AA13"/>
    <mergeCell ref="U12:U13"/>
    <mergeCell ref="V12:V13"/>
    <mergeCell ref="O9:S9"/>
    <mergeCell ref="W12:W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R41"/>
  <sheetViews>
    <sheetView topLeftCell="A4" zoomScale="70" zoomScaleNormal="70" workbookViewId="0">
      <pane xSplit="2" ySplit="12" topLeftCell="C25" activePane="bottomRight" state="frozen"/>
      <selection activeCell="A4" sqref="A4"/>
      <selection pane="topRight" activeCell="C4" sqref="C4"/>
      <selection pane="bottomLeft" activeCell="A15" sqref="A15"/>
      <selection pane="bottomRight" activeCell="U31" sqref="U31"/>
    </sheetView>
  </sheetViews>
  <sheetFormatPr defaultRowHeight="15" x14ac:dyDescent="0.25"/>
  <cols>
    <col min="1" max="1" width="16.28515625" style="8" customWidth="1"/>
    <col min="2" max="2" width="26.42578125" style="8" customWidth="1"/>
    <col min="3" max="4" width="9.140625" style="8"/>
    <col min="5" max="5" width="12.140625" style="8" customWidth="1"/>
    <col min="6" max="6" width="12.5703125" style="8" customWidth="1"/>
    <col min="7" max="8" width="9.140625" style="8"/>
    <col min="9" max="9" width="12.140625" style="8" customWidth="1"/>
    <col min="10" max="17" width="9.140625" style="8"/>
    <col min="18" max="19" width="14.5703125" style="8" customWidth="1"/>
    <col min="20" max="20" width="12.28515625" style="8" customWidth="1"/>
    <col min="21" max="22" width="13.85546875" style="8" customWidth="1"/>
    <col min="23" max="23" width="11.42578125" style="8" customWidth="1"/>
    <col min="24" max="24" width="15.28515625" style="8" customWidth="1"/>
    <col min="25" max="25" width="14.85546875" style="8" customWidth="1"/>
    <col min="26" max="26" width="12.85546875" style="8" customWidth="1"/>
    <col min="27" max="27" width="14.42578125" style="8" customWidth="1"/>
    <col min="28" max="28" width="12.5703125" style="8" customWidth="1"/>
    <col min="29" max="16384" width="9.140625" style="8"/>
  </cols>
  <sheetData>
    <row r="5" spans="1:44" x14ac:dyDescent="0.25">
      <c r="A5" s="98" t="s">
        <v>445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N5" s="98" t="s">
        <v>446</v>
      </c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83"/>
      <c r="AC5" s="98" t="s">
        <v>438</v>
      </c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83"/>
      <c r="AO5" s="83"/>
      <c r="AP5" s="83"/>
      <c r="AQ5" s="83"/>
      <c r="AR5" s="83"/>
    </row>
    <row r="7" spans="1:44" ht="45.75" customHeight="1" x14ac:dyDescent="0.25">
      <c r="A7" s="99" t="s">
        <v>1</v>
      </c>
      <c r="B7" s="108"/>
      <c r="C7" s="99" t="s">
        <v>2</v>
      </c>
      <c r="D7" s="100"/>
      <c r="E7" s="100"/>
      <c r="F7" s="100"/>
      <c r="G7" s="100"/>
      <c r="H7" s="100"/>
      <c r="I7" s="100"/>
      <c r="J7" s="100"/>
      <c r="K7" s="100"/>
      <c r="N7" s="99" t="s">
        <v>1</v>
      </c>
      <c r="O7" s="100"/>
      <c r="P7" s="100"/>
      <c r="Q7" s="108"/>
      <c r="R7" s="110" t="s">
        <v>2</v>
      </c>
      <c r="S7" s="110"/>
      <c r="T7" s="110"/>
      <c r="U7" s="110"/>
      <c r="V7" s="110"/>
      <c r="W7" s="110"/>
      <c r="X7" s="110"/>
      <c r="Y7" s="110"/>
      <c r="Z7" s="110"/>
      <c r="AA7" s="110"/>
      <c r="AC7" s="99" t="s">
        <v>1</v>
      </c>
      <c r="AD7" s="100"/>
      <c r="AE7" s="108"/>
      <c r="AF7" s="110" t="s">
        <v>2</v>
      </c>
      <c r="AG7" s="110"/>
      <c r="AH7" s="110"/>
      <c r="AI7" s="110"/>
      <c r="AJ7" s="110"/>
      <c r="AK7" s="110"/>
      <c r="AL7" s="110"/>
      <c r="AM7" s="110"/>
    </row>
    <row r="8" spans="1:44" ht="45.75" customHeight="1" x14ac:dyDescent="0.25">
      <c r="A8" s="101"/>
      <c r="B8" s="109"/>
      <c r="C8" s="103"/>
      <c r="D8" s="104"/>
      <c r="E8" s="104"/>
      <c r="F8" s="104"/>
      <c r="G8" s="104"/>
      <c r="H8" s="104"/>
      <c r="I8" s="104"/>
      <c r="J8" s="104"/>
      <c r="K8" s="104"/>
      <c r="N8" s="101"/>
      <c r="O8" s="102"/>
      <c r="P8" s="102"/>
      <c r="Q8" s="109"/>
      <c r="R8" s="110"/>
      <c r="S8" s="110"/>
      <c r="T8" s="110"/>
      <c r="U8" s="110"/>
      <c r="V8" s="110"/>
      <c r="W8" s="110"/>
      <c r="X8" s="110"/>
      <c r="Y8" s="110"/>
      <c r="Z8" s="110"/>
      <c r="AA8" s="110"/>
      <c r="AC8" s="101"/>
      <c r="AD8" s="102"/>
      <c r="AE8" s="109"/>
      <c r="AF8" s="110"/>
      <c r="AG8" s="110"/>
      <c r="AH8" s="110"/>
      <c r="AI8" s="110"/>
      <c r="AJ8" s="110"/>
      <c r="AK8" s="110"/>
      <c r="AL8" s="110"/>
      <c r="AM8" s="110"/>
    </row>
    <row r="9" spans="1:44" ht="45.75" customHeight="1" x14ac:dyDescent="0.25">
      <c r="A9" s="103"/>
      <c r="B9" s="105"/>
      <c r="C9" s="24" t="s">
        <v>12</v>
      </c>
      <c r="D9" s="24" t="s">
        <v>270</v>
      </c>
      <c r="E9" s="24" t="s">
        <v>13</v>
      </c>
      <c r="F9" s="24" t="s">
        <v>11</v>
      </c>
      <c r="G9" s="24" t="s">
        <v>10</v>
      </c>
      <c r="H9" s="24" t="s">
        <v>3</v>
      </c>
      <c r="I9" s="9" t="s">
        <v>4</v>
      </c>
      <c r="J9" s="24" t="s">
        <v>5</v>
      </c>
      <c r="K9" s="24" t="s">
        <v>6</v>
      </c>
      <c r="N9" s="103"/>
      <c r="O9" s="104"/>
      <c r="P9" s="104"/>
      <c r="Q9" s="105"/>
      <c r="R9" s="24" t="s">
        <v>12</v>
      </c>
      <c r="S9" s="24" t="s">
        <v>270</v>
      </c>
      <c r="T9" s="24" t="s">
        <v>13</v>
      </c>
      <c r="U9" s="24" t="s">
        <v>11</v>
      </c>
      <c r="V9" s="24" t="s">
        <v>447</v>
      </c>
      <c r="W9" s="24" t="s">
        <v>10</v>
      </c>
      <c r="X9" s="24" t="s">
        <v>3</v>
      </c>
      <c r="Y9" s="9" t="s">
        <v>4</v>
      </c>
      <c r="Z9" s="24" t="s">
        <v>5</v>
      </c>
      <c r="AA9" s="24" t="s">
        <v>6</v>
      </c>
      <c r="AC9" s="103"/>
      <c r="AD9" s="104"/>
      <c r="AE9" s="105"/>
      <c r="AF9" s="24" t="s">
        <v>12</v>
      </c>
      <c r="AG9" s="24" t="s">
        <v>270</v>
      </c>
      <c r="AH9" s="24" t="s">
        <v>13</v>
      </c>
      <c r="AI9" s="24" t="s">
        <v>11</v>
      </c>
      <c r="AJ9" s="24" t="s">
        <v>10</v>
      </c>
      <c r="AK9" s="24" t="s">
        <v>3</v>
      </c>
      <c r="AL9" s="24" t="s">
        <v>5</v>
      </c>
      <c r="AM9" s="24" t="s">
        <v>6</v>
      </c>
    </row>
    <row r="10" spans="1:44" ht="45.75" customHeight="1" x14ac:dyDescent="0.25">
      <c r="A10" s="106" t="s">
        <v>7</v>
      </c>
      <c r="B10" s="106"/>
      <c r="C10" s="6">
        <v>24</v>
      </c>
      <c r="D10" s="3">
        <f>'по детям'!D10</f>
        <v>12130</v>
      </c>
      <c r="E10" s="5">
        <f>C10/18</f>
        <v>1.3333333333333333</v>
      </c>
      <c r="F10" s="6">
        <v>1.1599999999999999</v>
      </c>
      <c r="G10" s="6">
        <f>ROUND(D10/0.7-D10,0)</f>
        <v>5199</v>
      </c>
      <c r="H10" s="4">
        <v>12</v>
      </c>
      <c r="I10" s="78">
        <v>22</v>
      </c>
      <c r="J10" s="4">
        <v>1.302</v>
      </c>
      <c r="K10" s="5">
        <f>ROUND((((D10*F10+G10)*E10)*H10*J10/I10)/1000,2)</f>
        <v>18.25</v>
      </c>
      <c r="N10" s="132" t="s">
        <v>7</v>
      </c>
      <c r="O10" s="133"/>
      <c r="P10" s="133"/>
      <c r="Q10" s="134"/>
      <c r="R10" s="79">
        <v>24</v>
      </c>
      <c r="S10" s="82">
        <f>'по детям'!D10</f>
        <v>12130</v>
      </c>
      <c r="T10" s="5">
        <f>R10/18</f>
        <v>1.3333333333333333</v>
      </c>
      <c r="U10" s="79">
        <v>1.1599999999999999</v>
      </c>
      <c r="V10" s="79">
        <v>1.6</v>
      </c>
      <c r="W10" s="6">
        <f>ROUND(S10/0.7-S10,0)</f>
        <v>5199</v>
      </c>
      <c r="X10" s="79">
        <v>12</v>
      </c>
      <c r="Y10" s="80">
        <v>22</v>
      </c>
      <c r="Z10" s="4">
        <v>1.3620000000000001</v>
      </c>
      <c r="AA10" s="5">
        <f>ROUND((((S10*U10*V10+W10)*T10)*X10*Z10/Y10)/1000,2)</f>
        <v>27.45</v>
      </c>
      <c r="AC10" s="106" t="s">
        <v>7</v>
      </c>
      <c r="AD10" s="106"/>
      <c r="AE10" s="106"/>
      <c r="AF10" s="6">
        <v>8</v>
      </c>
      <c r="AG10" s="3">
        <f>'по детям'!D10</f>
        <v>12130</v>
      </c>
      <c r="AH10" s="5">
        <f>AF10/18</f>
        <v>0.44444444444444442</v>
      </c>
      <c r="AI10" s="6">
        <v>1.1599999999999999</v>
      </c>
      <c r="AJ10" s="6">
        <v>0</v>
      </c>
      <c r="AK10" s="4">
        <v>12</v>
      </c>
      <c r="AL10" s="4">
        <v>1.302</v>
      </c>
      <c r="AM10" s="5">
        <f>ROUND((((AG10*AI10+AJ10)*AH10)*AK10*AL10)/1000,2)</f>
        <v>97.71</v>
      </c>
    </row>
    <row r="11" spans="1:44" ht="55.5" customHeight="1" x14ac:dyDescent="0.25">
      <c r="A11" s="97" t="s">
        <v>8</v>
      </c>
      <c r="B11" s="97"/>
      <c r="C11" s="6">
        <f>34-1</f>
        <v>33</v>
      </c>
      <c r="D11" s="3">
        <f>'по детям'!D10</f>
        <v>12130</v>
      </c>
      <c r="E11" s="5">
        <f>C11/18</f>
        <v>1.8333333333333333</v>
      </c>
      <c r="F11" s="6">
        <v>1.1399999999999999</v>
      </c>
      <c r="G11" s="6">
        <f>ROUND(D11/0.7-D11,0)</f>
        <v>5199</v>
      </c>
      <c r="H11" s="4">
        <v>12</v>
      </c>
      <c r="I11" s="15">
        <v>20</v>
      </c>
      <c r="J11" s="4">
        <v>1.302</v>
      </c>
      <c r="K11" s="5">
        <f>ROUND((((D11*F11+G11)*E11)*H11*J11/I11)/1000,2)</f>
        <v>27.25</v>
      </c>
      <c r="N11" s="129" t="s">
        <v>8</v>
      </c>
      <c r="O11" s="130"/>
      <c r="P11" s="130"/>
      <c r="Q11" s="131"/>
      <c r="R11" s="6">
        <f>34-1</f>
        <v>33</v>
      </c>
      <c r="S11" s="3">
        <f>'по детям'!D10</f>
        <v>12130</v>
      </c>
      <c r="T11" s="5">
        <f>R11/18</f>
        <v>1.8333333333333333</v>
      </c>
      <c r="U11" s="6">
        <v>1.1399999999999999</v>
      </c>
      <c r="V11" s="6">
        <v>1.6</v>
      </c>
      <c r="W11" s="6">
        <f>ROUND(S11/0.7-S11,0)</f>
        <v>5199</v>
      </c>
      <c r="X11" s="4">
        <v>12</v>
      </c>
      <c r="Y11" s="15">
        <v>20</v>
      </c>
      <c r="Z11" s="4">
        <v>1.3620000000000001</v>
      </c>
      <c r="AA11" s="5">
        <f>ROUND((((S11*U11*V11+W11)*T11)*X11*Z11/Y11)/1000,2)</f>
        <v>40.94</v>
      </c>
      <c r="AC11" s="97" t="s">
        <v>8</v>
      </c>
      <c r="AD11" s="97"/>
      <c r="AE11" s="97"/>
      <c r="AF11" s="6">
        <v>11</v>
      </c>
      <c r="AG11" s="3">
        <f>'по детям'!D10</f>
        <v>12130</v>
      </c>
      <c r="AH11" s="5">
        <f>AF11/18</f>
        <v>0.61111111111111116</v>
      </c>
      <c r="AI11" s="6">
        <v>1.1399999999999999</v>
      </c>
      <c r="AJ11" s="6">
        <v>0</v>
      </c>
      <c r="AK11" s="4">
        <v>12</v>
      </c>
      <c r="AL11" s="4">
        <v>1.302</v>
      </c>
      <c r="AM11" s="5">
        <f>ROUND((((AG11*AI11+AJ11)*AH11)*AK11*AL11)/1000,2)</f>
        <v>132.03</v>
      </c>
    </row>
    <row r="12" spans="1:44" ht="55.5" customHeight="1" x14ac:dyDescent="0.25">
      <c r="A12" s="97" t="s">
        <v>9</v>
      </c>
      <c r="B12" s="97"/>
      <c r="C12" s="6">
        <v>36</v>
      </c>
      <c r="D12" s="3">
        <f>'по детям'!D10</f>
        <v>12130</v>
      </c>
      <c r="E12" s="5">
        <f>C12/18</f>
        <v>2</v>
      </c>
      <c r="F12" s="6">
        <v>1.1399999999999999</v>
      </c>
      <c r="G12" s="6">
        <f>ROUND(D12/0.7-D12,0)</f>
        <v>5199</v>
      </c>
      <c r="H12" s="4">
        <v>12</v>
      </c>
      <c r="I12" s="15">
        <v>14</v>
      </c>
      <c r="J12" s="4">
        <v>1.302</v>
      </c>
      <c r="K12" s="5">
        <f>ROUND((((D12*F12+G12)*E12)*H12*J12/I12)/1000,2)</f>
        <v>42.47</v>
      </c>
      <c r="N12" s="129" t="s">
        <v>9</v>
      </c>
      <c r="O12" s="130"/>
      <c r="P12" s="130"/>
      <c r="Q12" s="131"/>
      <c r="R12" s="6">
        <v>36</v>
      </c>
      <c r="S12" s="3">
        <f>'по детям'!D10</f>
        <v>12130</v>
      </c>
      <c r="T12" s="5">
        <f>R12/18</f>
        <v>2</v>
      </c>
      <c r="U12" s="6">
        <v>1.1399999999999999</v>
      </c>
      <c r="V12" s="6">
        <v>1.6</v>
      </c>
      <c r="W12" s="6">
        <f>ROUND(S12/0.7-S12,0)</f>
        <v>5199</v>
      </c>
      <c r="X12" s="4">
        <v>12</v>
      </c>
      <c r="Y12" s="15">
        <v>14</v>
      </c>
      <c r="Z12" s="4">
        <v>1.3620000000000001</v>
      </c>
      <c r="AA12" s="5">
        <f>ROUND((((S12*U12*V12+W12)*T12)*X12*Z12/Y12)/1000,2)</f>
        <v>63.8</v>
      </c>
      <c r="AC12" s="97" t="s">
        <v>9</v>
      </c>
      <c r="AD12" s="97"/>
      <c r="AE12" s="97"/>
      <c r="AF12" s="6">
        <v>12</v>
      </c>
      <c r="AG12" s="3">
        <f>'по детям'!D10</f>
        <v>12130</v>
      </c>
      <c r="AH12" s="5">
        <f>AF12/18</f>
        <v>0.66666666666666663</v>
      </c>
      <c r="AI12" s="6">
        <v>1.1399999999999999</v>
      </c>
      <c r="AJ12" s="6">
        <v>0</v>
      </c>
      <c r="AK12" s="4">
        <v>12</v>
      </c>
      <c r="AL12" s="4">
        <v>1.302</v>
      </c>
      <c r="AM12" s="5">
        <f>ROUND((((AG12*AI12+AJ12)*AH12)*AK12*AL12)/1000,2)</f>
        <v>144.03</v>
      </c>
    </row>
    <row r="14" spans="1:44" ht="15" customHeight="1" x14ac:dyDescent="0.25">
      <c r="A14" s="111" t="s">
        <v>264</v>
      </c>
      <c r="B14" s="112" t="s">
        <v>265</v>
      </c>
      <c r="C14" s="116" t="s">
        <v>273</v>
      </c>
      <c r="D14" s="116"/>
      <c r="E14" s="116"/>
      <c r="F14" s="116" t="s">
        <v>439</v>
      </c>
      <c r="G14" s="116"/>
      <c r="H14" s="116"/>
      <c r="I14" s="116" t="s">
        <v>442</v>
      </c>
      <c r="J14" s="116"/>
      <c r="K14" s="116"/>
      <c r="L14" s="112" t="s">
        <v>271</v>
      </c>
      <c r="M14" s="112"/>
      <c r="N14" s="112"/>
      <c r="O14" s="112" t="s">
        <v>269</v>
      </c>
      <c r="P14" s="112" t="s">
        <v>274</v>
      </c>
      <c r="Q14" s="91" t="s">
        <v>469</v>
      </c>
      <c r="R14" s="111" t="s">
        <v>17</v>
      </c>
      <c r="S14" s="111" t="s">
        <v>476</v>
      </c>
      <c r="T14" s="128" t="s">
        <v>261</v>
      </c>
      <c r="U14" s="111" t="s">
        <v>436</v>
      </c>
      <c r="V14" s="112" t="s">
        <v>266</v>
      </c>
      <c r="W14" s="112" t="s">
        <v>267</v>
      </c>
      <c r="X14" s="111" t="s">
        <v>474</v>
      </c>
      <c r="Y14" s="111"/>
      <c r="Z14" s="111"/>
      <c r="AA14" s="111"/>
      <c r="AB14" s="111"/>
      <c r="AC14" s="111" t="s">
        <v>475</v>
      </c>
      <c r="AD14" s="111"/>
      <c r="AE14" s="111"/>
      <c r="AF14" s="111"/>
      <c r="AG14" s="111" t="s">
        <v>469</v>
      </c>
      <c r="AH14" s="91" t="s">
        <v>504</v>
      </c>
    </row>
    <row r="15" spans="1:44" ht="120" customHeight="1" x14ac:dyDescent="0.25">
      <c r="A15" s="111"/>
      <c r="B15" s="112"/>
      <c r="C15" s="15" t="s">
        <v>15</v>
      </c>
      <c r="D15" s="15" t="s">
        <v>16</v>
      </c>
      <c r="E15" s="15" t="s">
        <v>272</v>
      </c>
      <c r="F15" s="15" t="s">
        <v>15</v>
      </c>
      <c r="G15" s="15" t="s">
        <v>16</v>
      </c>
      <c r="H15" s="15" t="s">
        <v>272</v>
      </c>
      <c r="I15" s="15" t="s">
        <v>15</v>
      </c>
      <c r="J15" s="15" t="s">
        <v>16</v>
      </c>
      <c r="K15" s="15" t="s">
        <v>272</v>
      </c>
      <c r="L15" s="15" t="s">
        <v>15</v>
      </c>
      <c r="M15" s="15" t="s">
        <v>16</v>
      </c>
      <c r="N15" s="15" t="s">
        <v>272</v>
      </c>
      <c r="O15" s="112"/>
      <c r="P15" s="112"/>
      <c r="Q15" s="93"/>
      <c r="R15" s="111"/>
      <c r="S15" s="111"/>
      <c r="T15" s="128"/>
      <c r="U15" s="111"/>
      <c r="V15" s="112"/>
      <c r="W15" s="112"/>
      <c r="X15" s="40" t="s">
        <v>506</v>
      </c>
      <c r="Y15" s="40" t="s">
        <v>434</v>
      </c>
      <c r="Z15" s="63" t="s">
        <v>495</v>
      </c>
      <c r="AA15" s="40" t="s">
        <v>435</v>
      </c>
      <c r="AB15" s="40" t="s">
        <v>437</v>
      </c>
      <c r="AC15" s="41" t="s">
        <v>444</v>
      </c>
      <c r="AD15" s="40" t="s">
        <v>434</v>
      </c>
      <c r="AE15" s="40" t="s">
        <v>435</v>
      </c>
      <c r="AF15" s="40" t="s">
        <v>437</v>
      </c>
      <c r="AG15" s="111"/>
      <c r="AH15" s="93"/>
      <c r="AI15" s="9"/>
      <c r="AJ15" s="9"/>
    </row>
    <row r="16" spans="1:44" ht="15" customHeight="1" x14ac:dyDescent="0.25">
      <c r="A16" s="8" t="s">
        <v>21</v>
      </c>
      <c r="B16" s="8" t="s">
        <v>448</v>
      </c>
      <c r="C16" s="8">
        <v>8</v>
      </c>
      <c r="D16" s="8">
        <v>36</v>
      </c>
      <c r="E16" s="8">
        <f>SUM(C16:D16)</f>
        <v>44</v>
      </c>
      <c r="H16" s="8">
        <f>SUM(F16:G16)</f>
        <v>0</v>
      </c>
      <c r="K16" s="8">
        <f>SUM(I16:J16)</f>
        <v>0</v>
      </c>
      <c r="L16" s="8">
        <v>1</v>
      </c>
      <c r="M16" s="8">
        <v>3</v>
      </c>
      <c r="N16" s="8">
        <f>SUM(L16:M16)</f>
        <v>4</v>
      </c>
      <c r="O16" s="26">
        <v>1.5</v>
      </c>
      <c r="P16" s="25">
        <v>1.25</v>
      </c>
      <c r="Q16" s="66">
        <f>IF(A16='Свод по районам'!$A$9,'Свод по районам'!$G$9,0)</f>
        <v>1.4603359394739179</v>
      </c>
      <c r="R16" s="25">
        <f t="shared" ref="R16:R22" si="0">ROUND((((C16-F16)*$K$11+(D16-G16)*$K$12)+(F16*$AM$11+G16*$AM$12)+(I16*$K$11*0.2+J16*$K$12*0.2))*P16*O16/1.302/12,1)</f>
        <v>209.6</v>
      </c>
      <c r="S16" s="12">
        <f>R16/AG16</f>
        <v>80.272340425531908</v>
      </c>
      <c r="T16" s="11">
        <v>70.099999999999994</v>
      </c>
      <c r="U16" s="17">
        <f>S16-T16</f>
        <v>10.172340425531914</v>
      </c>
      <c r="V16" s="17">
        <f>IF(U16&gt;0,U16,0)</f>
        <v>10.172340425531914</v>
      </c>
      <c r="W16" s="17">
        <f t="shared" ref="W16:W37" si="1">IF(U16&lt;0,U16,0)</f>
        <v>0</v>
      </c>
      <c r="X16" s="8">
        <v>3</v>
      </c>
      <c r="Y16" s="53">
        <f t="shared" ref="Y16:Y28" si="2">R16/X16*1000</f>
        <v>69866.666666666657</v>
      </c>
      <c r="Z16" s="53">
        <f>S16/X16*1000</f>
        <v>26757.446808510635</v>
      </c>
      <c r="AA16" s="53">
        <f t="shared" ref="AA16:AA28" si="3">T16/X16*1000</f>
        <v>23366.666666666664</v>
      </c>
      <c r="AB16" s="21">
        <f>Y16-AA16</f>
        <v>46499.999999999993</v>
      </c>
      <c r="AC16" s="23">
        <f t="shared" ref="AC16:AC28" si="4">(L16*$E$11+M16*$E$12)+(F16*$AH$11+G16*$AH$12)</f>
        <v>7.833333333333333</v>
      </c>
      <c r="AD16" s="20">
        <f t="shared" ref="AD16:AD28" si="5">R16/AC16*1000</f>
        <v>26757.446808510638</v>
      </c>
      <c r="AE16" s="20">
        <f t="shared" ref="AE16:AE28" si="6">T16/AC16*1000</f>
        <v>8948.9361702127662</v>
      </c>
      <c r="AF16" s="20">
        <f>AD16-AE16</f>
        <v>17808.51063829787</v>
      </c>
      <c r="AG16" s="20">
        <f>AC16/X16</f>
        <v>2.6111111111111112</v>
      </c>
      <c r="AH16" s="20">
        <f t="shared" ref="AH16:AH28" si="7">IF(Z16/O16&lt;$AI$14,($AI$14*O16-Z16)/1000*X16*1.302*4,0)</f>
        <v>0</v>
      </c>
      <c r="AI16" s="20"/>
      <c r="AJ16" s="11"/>
    </row>
    <row r="17" spans="1:38" x14ac:dyDescent="0.25">
      <c r="A17" s="8" t="s">
        <v>21</v>
      </c>
      <c r="B17" s="8" t="s">
        <v>449</v>
      </c>
      <c r="C17" s="8">
        <v>9</v>
      </c>
      <c r="D17" s="8">
        <v>57</v>
      </c>
      <c r="E17" s="8">
        <f t="shared" ref="E17:E37" si="8">SUM(C17:D17)</f>
        <v>66</v>
      </c>
      <c r="H17" s="8">
        <f t="shared" ref="H17:H37" si="9">SUM(F17:G17)</f>
        <v>0</v>
      </c>
      <c r="I17" s="8">
        <v>2</v>
      </c>
      <c r="K17" s="8">
        <f t="shared" ref="K17:K37" si="10">SUM(I17:J17)</f>
        <v>2</v>
      </c>
      <c r="L17" s="8">
        <v>1</v>
      </c>
      <c r="M17" s="8">
        <v>3</v>
      </c>
      <c r="N17" s="8">
        <f t="shared" ref="N17:N37" si="11">SUM(L17:M17)</f>
        <v>4</v>
      </c>
      <c r="O17" s="25">
        <v>1.5</v>
      </c>
      <c r="P17" s="8">
        <v>1.25</v>
      </c>
      <c r="Q17" s="66">
        <f>IF(A17='Свод по районам'!$A$9,'Свод по районам'!$G$9,0)</f>
        <v>1.4603359394739179</v>
      </c>
      <c r="R17" s="25">
        <f t="shared" si="0"/>
        <v>321.3</v>
      </c>
      <c r="S17" s="12">
        <f t="shared" ref="S17:S28" si="12">R17/AG17</f>
        <v>139.45787234042555</v>
      </c>
      <c r="T17" s="8">
        <v>79.599999999999994</v>
      </c>
      <c r="U17" s="17">
        <f t="shared" ref="U17:U37" si="13">S17-T17</f>
        <v>59.857872340425558</v>
      </c>
      <c r="V17" s="17">
        <f t="shared" ref="V17:V37" si="14">IF(U17&gt;0,U17,0)</f>
        <v>59.857872340425558</v>
      </c>
      <c r="W17" s="17">
        <f t="shared" si="1"/>
        <v>0</v>
      </c>
      <c r="X17" s="8">
        <v>3.4</v>
      </c>
      <c r="Y17" s="53">
        <f t="shared" si="2"/>
        <v>94500</v>
      </c>
      <c r="Z17" s="53">
        <f t="shared" ref="Z17:Z37" si="15">S17/X17*1000</f>
        <v>41017.021276595748</v>
      </c>
      <c r="AA17" s="53">
        <f t="shared" si="3"/>
        <v>23411.764705882353</v>
      </c>
      <c r="AB17" s="21">
        <f t="shared" ref="AB17:AB37" si="16">Y17-AA17</f>
        <v>71088.23529411765</v>
      </c>
      <c r="AC17" s="23">
        <f t="shared" si="4"/>
        <v>7.833333333333333</v>
      </c>
      <c r="AD17" s="20">
        <f t="shared" si="5"/>
        <v>41017.021276595748</v>
      </c>
      <c r="AE17" s="20">
        <f t="shared" si="6"/>
        <v>10161.702127659573</v>
      </c>
      <c r="AF17" s="20">
        <f t="shared" ref="AF17:AF37" si="17">AD17-AE17</f>
        <v>30855.319148936174</v>
      </c>
      <c r="AG17" s="20">
        <f t="shared" ref="AG17:AG38" si="18">AC17/X17</f>
        <v>2.3039215686274508</v>
      </c>
      <c r="AH17" s="20">
        <f t="shared" si="7"/>
        <v>0</v>
      </c>
      <c r="AI17" s="20"/>
      <c r="AJ17" s="11"/>
    </row>
    <row r="18" spans="1:38" x14ac:dyDescent="0.25">
      <c r="A18" s="8" t="s">
        <v>23</v>
      </c>
      <c r="B18" s="8" t="s">
        <v>450</v>
      </c>
      <c r="C18" s="8">
        <v>17</v>
      </c>
      <c r="D18" s="8">
        <v>24</v>
      </c>
      <c r="E18" s="8">
        <f t="shared" si="8"/>
        <v>41</v>
      </c>
      <c r="H18" s="8">
        <f t="shared" si="9"/>
        <v>0</v>
      </c>
      <c r="K18" s="8">
        <f t="shared" si="10"/>
        <v>0</v>
      </c>
      <c r="L18" s="8">
        <v>2</v>
      </c>
      <c r="M18" s="8">
        <v>2</v>
      </c>
      <c r="N18" s="8">
        <f t="shared" si="11"/>
        <v>4</v>
      </c>
      <c r="O18" s="25">
        <v>1.5</v>
      </c>
      <c r="P18" s="8">
        <v>1</v>
      </c>
      <c r="Q18" s="66">
        <f>IF(A18='Свод по районам'!$A$11,'Свод по районам'!$G$11,0)</f>
        <v>1.3302169816672833</v>
      </c>
      <c r="R18" s="25">
        <f t="shared" si="0"/>
        <v>142.30000000000001</v>
      </c>
      <c r="S18" s="12">
        <f t="shared" si="12"/>
        <v>37.12173913043479</v>
      </c>
      <c r="T18" s="8">
        <v>58.5</v>
      </c>
      <c r="U18" s="17">
        <f t="shared" si="13"/>
        <v>-21.37826086956521</v>
      </c>
      <c r="V18" s="17">
        <f t="shared" si="14"/>
        <v>0</v>
      </c>
      <c r="W18" s="17">
        <f t="shared" si="1"/>
        <v>-21.37826086956521</v>
      </c>
      <c r="X18" s="8">
        <v>2</v>
      </c>
      <c r="Y18" s="53">
        <f t="shared" si="2"/>
        <v>71150</v>
      </c>
      <c r="Z18" s="53">
        <f t="shared" si="15"/>
        <v>18560.869565217396</v>
      </c>
      <c r="AA18" s="53">
        <f t="shared" si="3"/>
        <v>29250</v>
      </c>
      <c r="AB18" s="21">
        <f t="shared" si="16"/>
        <v>41900</v>
      </c>
      <c r="AC18" s="23">
        <f t="shared" si="4"/>
        <v>7.6666666666666661</v>
      </c>
      <c r="AD18" s="20">
        <f t="shared" si="5"/>
        <v>18560.869565217396</v>
      </c>
      <c r="AE18" s="20">
        <f t="shared" si="6"/>
        <v>7630.434782608696</v>
      </c>
      <c r="AF18" s="20">
        <f t="shared" si="17"/>
        <v>10930.4347826087</v>
      </c>
      <c r="AG18" s="20">
        <f t="shared" si="18"/>
        <v>3.833333333333333</v>
      </c>
      <c r="AH18" s="20">
        <f t="shared" si="7"/>
        <v>0</v>
      </c>
      <c r="AI18" s="20"/>
      <c r="AJ18" s="11"/>
    </row>
    <row r="19" spans="1:38" x14ac:dyDescent="0.25">
      <c r="A19" s="8" t="s">
        <v>24</v>
      </c>
      <c r="B19" s="8" t="s">
        <v>451</v>
      </c>
      <c r="C19" s="8">
        <v>25</v>
      </c>
      <c r="D19" s="8">
        <v>78</v>
      </c>
      <c r="E19" s="8">
        <f t="shared" si="8"/>
        <v>103</v>
      </c>
      <c r="H19" s="8">
        <f t="shared" si="9"/>
        <v>0</v>
      </c>
      <c r="K19" s="8">
        <f t="shared" si="10"/>
        <v>0</v>
      </c>
      <c r="L19" s="8">
        <v>2</v>
      </c>
      <c r="M19" s="8">
        <v>5</v>
      </c>
      <c r="N19" s="8">
        <f t="shared" si="11"/>
        <v>7</v>
      </c>
      <c r="O19" s="25">
        <v>1.5</v>
      </c>
      <c r="P19" s="8">
        <v>1</v>
      </c>
      <c r="Q19" s="66">
        <f>IF(A19='Свод по районам'!$A$12,'Свод по районам'!$G$12,0)</f>
        <v>1.6163696773289624</v>
      </c>
      <c r="R19" s="25">
        <f t="shared" si="0"/>
        <v>383.4</v>
      </c>
      <c r="S19" s="12">
        <f t="shared" si="12"/>
        <v>56.107317073170734</v>
      </c>
      <c r="T19" s="8">
        <v>108.7</v>
      </c>
      <c r="U19" s="17">
        <f t="shared" si="13"/>
        <v>-52.592682926829269</v>
      </c>
      <c r="V19" s="17">
        <f t="shared" si="14"/>
        <v>0</v>
      </c>
      <c r="W19" s="17">
        <f t="shared" si="1"/>
        <v>-52.592682926829269</v>
      </c>
      <c r="X19" s="8">
        <v>2</v>
      </c>
      <c r="Y19" s="53">
        <f t="shared" si="2"/>
        <v>191700</v>
      </c>
      <c r="Z19" s="53">
        <f t="shared" si="15"/>
        <v>28053.658536585368</v>
      </c>
      <c r="AA19" s="53">
        <f t="shared" si="3"/>
        <v>54350</v>
      </c>
      <c r="AB19" s="21">
        <f t="shared" si="16"/>
        <v>137350</v>
      </c>
      <c r="AC19" s="23">
        <f t="shared" si="4"/>
        <v>13.666666666666666</v>
      </c>
      <c r="AD19" s="20">
        <f t="shared" si="5"/>
        <v>28053.658536585368</v>
      </c>
      <c r="AE19" s="20">
        <f t="shared" si="6"/>
        <v>7953.6585365853662</v>
      </c>
      <c r="AF19" s="20">
        <f t="shared" si="17"/>
        <v>20100</v>
      </c>
      <c r="AG19" s="20">
        <f t="shared" si="18"/>
        <v>6.833333333333333</v>
      </c>
      <c r="AH19" s="20">
        <f t="shared" si="7"/>
        <v>0</v>
      </c>
      <c r="AI19" s="20"/>
      <c r="AJ19" s="11"/>
    </row>
    <row r="20" spans="1:38" x14ac:dyDescent="0.25">
      <c r="A20" s="8" t="s">
        <v>25</v>
      </c>
      <c r="B20" s="8" t="s">
        <v>452</v>
      </c>
      <c r="C20" s="8">
        <v>23</v>
      </c>
      <c r="D20" s="8">
        <v>166</v>
      </c>
      <c r="E20" s="8">
        <f t="shared" si="8"/>
        <v>189</v>
      </c>
      <c r="H20" s="8">
        <f t="shared" si="9"/>
        <v>0</v>
      </c>
      <c r="K20" s="8">
        <f t="shared" si="10"/>
        <v>0</v>
      </c>
      <c r="L20" s="8">
        <v>4</v>
      </c>
      <c r="M20" s="8">
        <v>15</v>
      </c>
      <c r="N20" s="8">
        <f t="shared" si="11"/>
        <v>19</v>
      </c>
      <c r="O20" s="25">
        <v>1.5</v>
      </c>
      <c r="P20" s="8">
        <v>1.25</v>
      </c>
      <c r="Q20" s="66">
        <f>IF(A20='Свод по районам'!$A$13,'Свод по районам'!$G$13,0)</f>
        <v>1.7836587027864101</v>
      </c>
      <c r="R20" s="25">
        <f t="shared" si="0"/>
        <v>921.3</v>
      </c>
      <c r="S20" s="12">
        <f t="shared" si="12"/>
        <v>192.48589285714283</v>
      </c>
      <c r="T20" s="8">
        <v>354.7</v>
      </c>
      <c r="U20" s="17">
        <f t="shared" si="13"/>
        <v>-162.21410714285716</v>
      </c>
      <c r="V20" s="17">
        <f t="shared" si="14"/>
        <v>0</v>
      </c>
      <c r="W20" s="17">
        <f t="shared" si="1"/>
        <v>-162.21410714285716</v>
      </c>
      <c r="X20" s="8">
        <v>7.8</v>
      </c>
      <c r="Y20" s="53">
        <f t="shared" si="2"/>
        <v>118115.38461538461</v>
      </c>
      <c r="Z20" s="53">
        <f t="shared" si="15"/>
        <v>24677.678571428569</v>
      </c>
      <c r="AA20" s="53">
        <f t="shared" si="3"/>
        <v>45474.358974358969</v>
      </c>
      <c r="AB20" s="21">
        <f t="shared" si="16"/>
        <v>72641.025641025641</v>
      </c>
      <c r="AC20" s="23">
        <f t="shared" si="4"/>
        <v>37.333333333333336</v>
      </c>
      <c r="AD20" s="20">
        <f t="shared" si="5"/>
        <v>24677.678571428569</v>
      </c>
      <c r="AE20" s="20">
        <f t="shared" si="6"/>
        <v>9500.8928571428569</v>
      </c>
      <c r="AF20" s="20">
        <f t="shared" si="17"/>
        <v>15176.785714285712</v>
      </c>
      <c r="AG20" s="20">
        <f t="shared" si="18"/>
        <v>4.7863247863247871</v>
      </c>
      <c r="AH20" s="20">
        <f t="shared" si="7"/>
        <v>0</v>
      </c>
      <c r="AI20" s="20"/>
      <c r="AJ20" s="11"/>
    </row>
    <row r="21" spans="1:38" x14ac:dyDescent="0.25">
      <c r="A21" s="8" t="s">
        <v>28</v>
      </c>
      <c r="B21" s="8" t="s">
        <v>453</v>
      </c>
      <c r="C21" s="8">
        <v>2</v>
      </c>
      <c r="D21" s="8">
        <v>55</v>
      </c>
      <c r="E21" s="8">
        <f t="shared" si="8"/>
        <v>57</v>
      </c>
      <c r="H21" s="8">
        <f t="shared" si="9"/>
        <v>0</v>
      </c>
      <c r="K21" s="8">
        <f t="shared" si="10"/>
        <v>0</v>
      </c>
      <c r="L21" s="8">
        <v>1</v>
      </c>
      <c r="M21" s="8">
        <v>3</v>
      </c>
      <c r="N21" s="8">
        <f t="shared" si="11"/>
        <v>4</v>
      </c>
      <c r="O21" s="25">
        <v>1.8</v>
      </c>
      <c r="P21" s="8">
        <v>1.25</v>
      </c>
      <c r="Q21" s="66">
        <f>IF(A21='Свод по районам'!$A$16,'Свод по районам'!$G$16,0)</f>
        <v>1.65110517196562</v>
      </c>
      <c r="R21" s="25">
        <f t="shared" si="0"/>
        <v>344.2</v>
      </c>
      <c r="S21" s="12">
        <f t="shared" si="12"/>
        <v>79.092765957446815</v>
      </c>
      <c r="T21" s="8">
        <v>97.8</v>
      </c>
      <c r="U21" s="17">
        <f t="shared" si="13"/>
        <v>-18.707234042553182</v>
      </c>
      <c r="V21" s="17">
        <f t="shared" si="14"/>
        <v>0</v>
      </c>
      <c r="W21" s="17">
        <f t="shared" si="1"/>
        <v>-18.707234042553182</v>
      </c>
      <c r="X21" s="8">
        <v>1.8</v>
      </c>
      <c r="Y21" s="53">
        <f t="shared" si="2"/>
        <v>191222.22222222219</v>
      </c>
      <c r="Z21" s="53">
        <f t="shared" si="15"/>
        <v>43940.425531914894</v>
      </c>
      <c r="AA21" s="53">
        <f t="shared" si="3"/>
        <v>54333.333333333328</v>
      </c>
      <c r="AB21" s="21">
        <f t="shared" si="16"/>
        <v>136888.88888888888</v>
      </c>
      <c r="AC21" s="23">
        <f t="shared" si="4"/>
        <v>7.833333333333333</v>
      </c>
      <c r="AD21" s="20">
        <f t="shared" si="5"/>
        <v>43940.425531914894</v>
      </c>
      <c r="AE21" s="20">
        <f t="shared" si="6"/>
        <v>12485.106382978724</v>
      </c>
      <c r="AF21" s="20">
        <f t="shared" si="17"/>
        <v>31455.319148936171</v>
      </c>
      <c r="AG21" s="20">
        <f t="shared" si="18"/>
        <v>4.3518518518518512</v>
      </c>
      <c r="AH21" s="20">
        <f t="shared" si="7"/>
        <v>0</v>
      </c>
      <c r="AI21" s="20"/>
      <c r="AJ21" s="11"/>
    </row>
    <row r="22" spans="1:38" x14ac:dyDescent="0.25">
      <c r="A22" s="8" t="s">
        <v>34</v>
      </c>
      <c r="B22" s="8" t="s">
        <v>454</v>
      </c>
      <c r="C22" s="8">
        <v>10</v>
      </c>
      <c r="D22" s="8">
        <v>86</v>
      </c>
      <c r="E22" s="8">
        <f t="shared" si="8"/>
        <v>96</v>
      </c>
      <c r="H22" s="8">
        <f t="shared" si="9"/>
        <v>0</v>
      </c>
      <c r="I22" s="8">
        <v>1</v>
      </c>
      <c r="K22" s="8">
        <f t="shared" si="10"/>
        <v>1</v>
      </c>
      <c r="L22" s="8">
        <v>3</v>
      </c>
      <c r="M22" s="8">
        <v>5</v>
      </c>
      <c r="N22" s="8">
        <f t="shared" si="11"/>
        <v>8</v>
      </c>
      <c r="O22" s="25">
        <v>2.2000000000000002</v>
      </c>
      <c r="P22" s="8">
        <v>1</v>
      </c>
      <c r="Q22" s="66">
        <f>IF(A22='Свод по районам'!$A$22,'Свод по районам'!$G$22,0)</f>
        <v>1.634801953748239</v>
      </c>
      <c r="R22" s="25">
        <f t="shared" si="0"/>
        <v>553.4</v>
      </c>
      <c r="S22" s="12">
        <f t="shared" si="12"/>
        <v>178.51612903225805</v>
      </c>
      <c r="T22" s="8">
        <v>237.7</v>
      </c>
      <c r="U22" s="17">
        <f t="shared" si="13"/>
        <v>-59.183870967741939</v>
      </c>
      <c r="V22" s="17">
        <f t="shared" si="14"/>
        <v>0</v>
      </c>
      <c r="W22" s="17">
        <f t="shared" si="1"/>
        <v>-59.183870967741939</v>
      </c>
      <c r="X22" s="8">
        <v>5</v>
      </c>
      <c r="Y22" s="53">
        <f t="shared" si="2"/>
        <v>110679.99999999999</v>
      </c>
      <c r="Z22" s="53">
        <f t="shared" si="15"/>
        <v>35703.225806451614</v>
      </c>
      <c r="AA22" s="53">
        <f t="shared" si="3"/>
        <v>47540</v>
      </c>
      <c r="AB22" s="21">
        <f t="shared" si="16"/>
        <v>63139.999999999985</v>
      </c>
      <c r="AC22" s="23">
        <f t="shared" si="4"/>
        <v>15.5</v>
      </c>
      <c r="AD22" s="20">
        <f t="shared" si="5"/>
        <v>35703.225806451614</v>
      </c>
      <c r="AE22" s="20">
        <f t="shared" si="6"/>
        <v>15335.483870967741</v>
      </c>
      <c r="AF22" s="20">
        <f t="shared" si="17"/>
        <v>20367.741935483871</v>
      </c>
      <c r="AG22" s="20">
        <f t="shared" si="18"/>
        <v>3.1</v>
      </c>
      <c r="AH22" s="20">
        <f t="shared" si="7"/>
        <v>0</v>
      </c>
      <c r="AI22" s="20"/>
      <c r="AJ22" s="11"/>
    </row>
    <row r="23" spans="1:38" x14ac:dyDescent="0.25">
      <c r="A23" s="8" t="s">
        <v>35</v>
      </c>
      <c r="B23" s="27" t="s">
        <v>455</v>
      </c>
      <c r="C23" s="8">
        <v>21</v>
      </c>
      <c r="D23" s="8">
        <v>223</v>
      </c>
      <c r="E23" s="8">
        <f t="shared" si="8"/>
        <v>244</v>
      </c>
      <c r="H23" s="8">
        <f t="shared" si="9"/>
        <v>0</v>
      </c>
      <c r="K23" s="8">
        <f t="shared" si="10"/>
        <v>0</v>
      </c>
      <c r="L23" s="8">
        <v>1</v>
      </c>
      <c r="M23" s="8">
        <v>11</v>
      </c>
      <c r="N23" s="8">
        <f t="shared" si="11"/>
        <v>12</v>
      </c>
      <c r="O23" s="25">
        <v>1.5</v>
      </c>
      <c r="P23" s="8">
        <v>1</v>
      </c>
      <c r="Q23" s="66">
        <f>IF(A23='Свод по районам'!$A$23,'Свод по районам'!$G$23,0)</f>
        <v>1.5071531257293651</v>
      </c>
      <c r="R23" s="25">
        <f>ROUND((((C23-F23)*$AA$11+(D23-G23)*$AA$12)+(F23*$AM$11+G23*$AM$12)+(I23*$AA$11*0.2+J23*$AA$12*0.2))*P23*O23/1.302/12,1)</f>
        <v>1448.5</v>
      </c>
      <c r="S23" s="12">
        <f t="shared" si="12"/>
        <v>546.98601398601409</v>
      </c>
      <c r="T23" s="8">
        <v>559.70000000000005</v>
      </c>
      <c r="U23" s="17">
        <f t="shared" si="13"/>
        <v>-12.713986013985959</v>
      </c>
      <c r="V23" s="17">
        <f t="shared" si="14"/>
        <v>0</v>
      </c>
      <c r="W23" s="17">
        <f t="shared" si="1"/>
        <v>-12.713986013985959</v>
      </c>
      <c r="X23" s="8">
        <v>9</v>
      </c>
      <c r="Y23" s="53">
        <f t="shared" si="2"/>
        <v>160944.44444444447</v>
      </c>
      <c r="Z23" s="53">
        <f t="shared" si="15"/>
        <v>60776.223776223786</v>
      </c>
      <c r="AA23" s="53">
        <f t="shared" si="3"/>
        <v>62188.888888888898</v>
      </c>
      <c r="AB23" s="21">
        <f t="shared" si="16"/>
        <v>98755.555555555562</v>
      </c>
      <c r="AC23" s="23">
        <f t="shared" si="4"/>
        <v>23.833333333333332</v>
      </c>
      <c r="AD23" s="20">
        <f t="shared" si="5"/>
        <v>60776.223776223778</v>
      </c>
      <c r="AE23" s="20">
        <f t="shared" si="6"/>
        <v>23483.916083916087</v>
      </c>
      <c r="AF23" s="20">
        <f t="shared" si="17"/>
        <v>37292.307692307688</v>
      </c>
      <c r="AG23" s="20">
        <f t="shared" si="18"/>
        <v>2.6481481481481479</v>
      </c>
      <c r="AH23" s="20">
        <f t="shared" si="7"/>
        <v>0</v>
      </c>
      <c r="AI23" s="20"/>
      <c r="AJ23" s="11"/>
    </row>
    <row r="24" spans="1:38" x14ac:dyDescent="0.25">
      <c r="A24" s="8" t="s">
        <v>35</v>
      </c>
      <c r="B24" s="8" t="s">
        <v>456</v>
      </c>
      <c r="C24" s="8">
        <v>16</v>
      </c>
      <c r="D24" s="8">
        <v>68</v>
      </c>
      <c r="E24" s="8">
        <f t="shared" si="8"/>
        <v>84</v>
      </c>
      <c r="H24" s="8">
        <f t="shared" si="9"/>
        <v>0</v>
      </c>
      <c r="K24" s="8">
        <f t="shared" si="10"/>
        <v>0</v>
      </c>
      <c r="L24" s="8">
        <v>1</v>
      </c>
      <c r="M24" s="8">
        <v>3</v>
      </c>
      <c r="N24" s="8">
        <f t="shared" si="11"/>
        <v>4</v>
      </c>
      <c r="O24" s="25">
        <v>1.5</v>
      </c>
      <c r="P24" s="8">
        <v>1</v>
      </c>
      <c r="Q24" s="66">
        <f>IF(A24='Свод по районам'!$A$23,'Свод по районам'!$G$23,0)</f>
        <v>1.5071531257293651</v>
      </c>
      <c r="R24" s="25">
        <f>ROUND((((C24-F24)*$K$11+(D24-G24)*$K$12)+(F24*$AM$11+G24*$AM$12)+(I24*$K$11*0.2+J24*$K$12*0.2))*P24*O24/1.302/12,1)</f>
        <v>319.10000000000002</v>
      </c>
      <c r="S24" s="12">
        <f t="shared" si="12"/>
        <v>122.20851063829788</v>
      </c>
      <c r="T24" s="8">
        <v>115.7</v>
      </c>
      <c r="U24" s="17">
        <f t="shared" si="13"/>
        <v>6.5085106382978779</v>
      </c>
      <c r="V24" s="17">
        <f t="shared" si="14"/>
        <v>6.5085106382978779</v>
      </c>
      <c r="W24" s="17">
        <f t="shared" si="1"/>
        <v>0</v>
      </c>
      <c r="X24" s="8">
        <v>3</v>
      </c>
      <c r="Y24" s="53">
        <f t="shared" si="2"/>
        <v>106366.66666666667</v>
      </c>
      <c r="Z24" s="53">
        <f t="shared" si="15"/>
        <v>40736.170212765959</v>
      </c>
      <c r="AA24" s="53">
        <f t="shared" si="3"/>
        <v>38566.666666666672</v>
      </c>
      <c r="AB24" s="21">
        <f t="shared" si="16"/>
        <v>67800</v>
      </c>
      <c r="AC24" s="23">
        <f t="shared" si="4"/>
        <v>7.833333333333333</v>
      </c>
      <c r="AD24" s="20">
        <f t="shared" si="5"/>
        <v>40736.170212765959</v>
      </c>
      <c r="AE24" s="20">
        <f t="shared" si="6"/>
        <v>14770.212765957447</v>
      </c>
      <c r="AF24" s="20">
        <f t="shared" si="17"/>
        <v>25965.957446808512</v>
      </c>
      <c r="AG24" s="20">
        <f t="shared" si="18"/>
        <v>2.6111111111111112</v>
      </c>
      <c r="AH24" s="20">
        <f t="shared" si="7"/>
        <v>0</v>
      </c>
      <c r="AI24" s="20"/>
      <c r="AJ24" s="11"/>
    </row>
    <row r="25" spans="1:38" x14ac:dyDescent="0.25">
      <c r="A25" s="8" t="s">
        <v>37</v>
      </c>
      <c r="B25" s="8" t="s">
        <v>457</v>
      </c>
      <c r="C25" s="8">
        <v>1</v>
      </c>
      <c r="D25" s="8">
        <v>92</v>
      </c>
      <c r="E25" s="8">
        <f t="shared" si="8"/>
        <v>93</v>
      </c>
      <c r="F25" s="8">
        <v>1</v>
      </c>
      <c r="H25" s="8">
        <f t="shared" si="9"/>
        <v>1</v>
      </c>
      <c r="J25" s="8">
        <v>2</v>
      </c>
      <c r="K25" s="8">
        <f t="shared" si="10"/>
        <v>2</v>
      </c>
      <c r="L25" s="8">
        <v>1</v>
      </c>
      <c r="M25" s="8">
        <v>9</v>
      </c>
      <c r="N25" s="8">
        <f t="shared" si="11"/>
        <v>10</v>
      </c>
      <c r="O25" s="25">
        <v>1.5</v>
      </c>
      <c r="P25" s="8">
        <v>1.25</v>
      </c>
      <c r="Q25" s="66">
        <f>IF(A25='Свод по районам'!$A$25,'Свод по районам'!$G$25,0)</f>
        <v>1.9115891989723128</v>
      </c>
      <c r="R25" s="25">
        <f>ROUND((((C25-F25)*$K$11+(D25-G25)*$K$12)+(F25*$AM$11+G25*$AM$12)+(I25*$K$11*0.2+J25*$K$12*0.2))*P25*O25/1.302/12,1)</f>
        <v>486.8</v>
      </c>
      <c r="S25" s="12">
        <f t="shared" si="12"/>
        <v>90.481304347826082</v>
      </c>
      <c r="T25" s="8">
        <v>155.30000000000001</v>
      </c>
      <c r="U25" s="17">
        <f t="shared" si="13"/>
        <v>-64.818695652173929</v>
      </c>
      <c r="V25" s="17">
        <f t="shared" si="14"/>
        <v>0</v>
      </c>
      <c r="W25" s="17">
        <f t="shared" si="1"/>
        <v>-64.818695652173929</v>
      </c>
      <c r="X25" s="8">
        <v>3.8</v>
      </c>
      <c r="Y25" s="53">
        <f t="shared" si="2"/>
        <v>128105.26315789473</v>
      </c>
      <c r="Z25" s="53">
        <f t="shared" si="15"/>
        <v>23810.869565217392</v>
      </c>
      <c r="AA25" s="53">
        <f t="shared" si="3"/>
        <v>40868.42105263158</v>
      </c>
      <c r="AB25" s="21">
        <f t="shared" si="16"/>
        <v>87236.842105263146</v>
      </c>
      <c r="AC25" s="23">
        <f t="shared" si="4"/>
        <v>20.444444444444443</v>
      </c>
      <c r="AD25" s="20">
        <f t="shared" si="5"/>
        <v>23810.869565217396</v>
      </c>
      <c r="AE25" s="20">
        <f t="shared" si="6"/>
        <v>7596.1956521739139</v>
      </c>
      <c r="AF25" s="20">
        <f t="shared" si="17"/>
        <v>16214.673913043482</v>
      </c>
      <c r="AG25" s="20">
        <f t="shared" si="18"/>
        <v>5.3801169590643276</v>
      </c>
      <c r="AH25" s="20">
        <f t="shared" si="7"/>
        <v>0</v>
      </c>
      <c r="AI25" s="20"/>
      <c r="AJ25" s="11"/>
    </row>
    <row r="26" spans="1:38" x14ac:dyDescent="0.25">
      <c r="A26" s="8" t="s">
        <v>276</v>
      </c>
      <c r="B26" s="8" t="s">
        <v>458</v>
      </c>
      <c r="C26" s="8">
        <v>144</v>
      </c>
      <c r="D26" s="8">
        <v>311</v>
      </c>
      <c r="E26" s="8">
        <f t="shared" si="8"/>
        <v>455</v>
      </c>
      <c r="H26" s="8">
        <f t="shared" si="9"/>
        <v>0</v>
      </c>
      <c r="J26" s="8">
        <v>1</v>
      </c>
      <c r="K26" s="8">
        <f t="shared" si="10"/>
        <v>1</v>
      </c>
      <c r="L26" s="8">
        <v>9</v>
      </c>
      <c r="M26" s="8">
        <v>17</v>
      </c>
      <c r="N26" s="8">
        <f t="shared" si="11"/>
        <v>26</v>
      </c>
      <c r="O26" s="25">
        <v>1.5</v>
      </c>
      <c r="P26" s="8">
        <v>1</v>
      </c>
      <c r="Q26" s="66">
        <f>IF(A26='Свод по районам'!$A$28,'Свод по районам'!$G$28,0)</f>
        <v>1.5375864844115965</v>
      </c>
      <c r="R26" s="25">
        <f>ROUND((((C26-F26)*$K$11+(D26-G26)*$K$12)+(F26*$AM$11+G26*$AM$12)+(I26*$K$11*0.2+J26*$K$12*0.2))*P26*O26/1.302/12,1)</f>
        <v>1645.6</v>
      </c>
      <c r="S26" s="12">
        <f t="shared" si="12"/>
        <v>651.7227722772277</v>
      </c>
      <c r="T26" s="8">
        <v>581</v>
      </c>
      <c r="U26" s="17">
        <f t="shared" si="13"/>
        <v>70.722772277227705</v>
      </c>
      <c r="V26" s="17">
        <f t="shared" si="14"/>
        <v>70.722772277227705</v>
      </c>
      <c r="W26" s="17">
        <f t="shared" si="1"/>
        <v>0</v>
      </c>
      <c r="X26" s="8">
        <v>20</v>
      </c>
      <c r="Y26" s="53">
        <f t="shared" si="2"/>
        <v>82280</v>
      </c>
      <c r="Z26" s="53">
        <f t="shared" si="15"/>
        <v>32586.138613861385</v>
      </c>
      <c r="AA26" s="53">
        <f t="shared" si="3"/>
        <v>29050</v>
      </c>
      <c r="AB26" s="21">
        <f t="shared" si="16"/>
        <v>53230</v>
      </c>
      <c r="AC26" s="23">
        <f t="shared" si="4"/>
        <v>50.5</v>
      </c>
      <c r="AD26" s="20">
        <f t="shared" si="5"/>
        <v>32586.138613861385</v>
      </c>
      <c r="AE26" s="20">
        <f t="shared" si="6"/>
        <v>11504.950495049505</v>
      </c>
      <c r="AF26" s="20">
        <f t="shared" si="17"/>
        <v>21081.188118811879</v>
      </c>
      <c r="AG26" s="20">
        <f t="shared" si="18"/>
        <v>2.5249999999999999</v>
      </c>
      <c r="AH26" s="20">
        <f t="shared" si="7"/>
        <v>0</v>
      </c>
      <c r="AI26" s="20"/>
      <c r="AJ26" s="11"/>
    </row>
    <row r="27" spans="1:38" x14ac:dyDescent="0.25">
      <c r="A27" s="8" t="s">
        <v>276</v>
      </c>
      <c r="B27" s="27" t="s">
        <v>459</v>
      </c>
      <c r="C27" s="8">
        <v>12</v>
      </c>
      <c r="D27" s="8">
        <v>226</v>
      </c>
      <c r="E27" s="8">
        <f t="shared" si="8"/>
        <v>238</v>
      </c>
      <c r="H27" s="8">
        <f t="shared" si="9"/>
        <v>0</v>
      </c>
      <c r="K27" s="8">
        <f t="shared" si="10"/>
        <v>0</v>
      </c>
      <c r="L27" s="8">
        <v>1</v>
      </c>
      <c r="M27" s="8">
        <v>12</v>
      </c>
      <c r="N27" s="8">
        <f t="shared" si="11"/>
        <v>13</v>
      </c>
      <c r="O27" s="25">
        <v>1.5</v>
      </c>
      <c r="P27" s="8">
        <v>1</v>
      </c>
      <c r="Q27" s="66">
        <f>IF(A27='Свод по районам'!$A$28,'Свод по районам'!$G$28,0)</f>
        <v>1.5375864844115965</v>
      </c>
      <c r="R27" s="25">
        <f>ROUND((((C27-F27)*$AA$11+(D27-G27)*$AA$12)+(F27*$AM$11+G27*$AM$12)+(I27*$AA$11*0.2+J27*$AA$12*0.2))*P27*O27/1.302/12,1)</f>
        <v>1431.5</v>
      </c>
      <c r="S27" s="12">
        <f t="shared" si="12"/>
        <v>554.12903225806463</v>
      </c>
      <c r="T27" s="8">
        <v>515.6</v>
      </c>
      <c r="U27" s="17">
        <f t="shared" si="13"/>
        <v>38.529032258064603</v>
      </c>
      <c r="V27" s="17">
        <f t="shared" si="14"/>
        <v>38.529032258064603</v>
      </c>
      <c r="W27" s="17">
        <f t="shared" si="1"/>
        <v>0</v>
      </c>
      <c r="X27" s="8">
        <v>10</v>
      </c>
      <c r="Y27" s="53">
        <f t="shared" si="2"/>
        <v>143150</v>
      </c>
      <c r="Z27" s="53">
        <f t="shared" si="15"/>
        <v>55412.903225806462</v>
      </c>
      <c r="AA27" s="53">
        <f t="shared" si="3"/>
        <v>51560</v>
      </c>
      <c r="AB27" s="21">
        <f t="shared" si="16"/>
        <v>91590</v>
      </c>
      <c r="AC27" s="23">
        <f t="shared" si="4"/>
        <v>25.833333333333332</v>
      </c>
      <c r="AD27" s="20">
        <f t="shared" si="5"/>
        <v>55412.903225806454</v>
      </c>
      <c r="AE27" s="20">
        <f t="shared" si="6"/>
        <v>19958.709677419356</v>
      </c>
      <c r="AF27" s="20">
        <f t="shared" si="17"/>
        <v>35454.193548387098</v>
      </c>
      <c r="AG27" s="20">
        <f t="shared" si="18"/>
        <v>2.583333333333333</v>
      </c>
      <c r="AH27" s="20">
        <f t="shared" si="7"/>
        <v>0</v>
      </c>
      <c r="AI27" s="20"/>
      <c r="AJ27" s="11"/>
    </row>
    <row r="28" spans="1:38" x14ac:dyDescent="0.25">
      <c r="A28" s="8" t="s">
        <v>276</v>
      </c>
      <c r="B28" s="27" t="s">
        <v>460</v>
      </c>
      <c r="D28" s="8">
        <v>217</v>
      </c>
      <c r="E28" s="8">
        <f t="shared" si="8"/>
        <v>217</v>
      </c>
      <c r="H28" s="8">
        <f t="shared" si="9"/>
        <v>0</v>
      </c>
      <c r="K28" s="8">
        <f t="shared" si="10"/>
        <v>0</v>
      </c>
      <c r="M28" s="8">
        <v>14</v>
      </c>
      <c r="N28" s="8">
        <f t="shared" si="11"/>
        <v>14</v>
      </c>
      <c r="O28" s="25">
        <v>1.5</v>
      </c>
      <c r="P28" s="8">
        <v>1</v>
      </c>
      <c r="Q28" s="66">
        <f>IF(A28='Свод по районам'!$A$28,'Свод по районам'!$G$28,0)</f>
        <v>1.5375864844115965</v>
      </c>
      <c r="R28" s="25">
        <f>ROUND((((C28-F28)*$AA$11+(D28-G28)*$AA$12)+(F28*$AM$11+G28*$AM$12)+(I28*$AA$11*0.2+J28*$AA$12*0.2))*P28*O28/1.302/12,1)</f>
        <v>1329.2</v>
      </c>
      <c r="S28" s="12">
        <f t="shared" si="12"/>
        <v>759.5428571428572</v>
      </c>
      <c r="T28" s="8">
        <v>544.9</v>
      </c>
      <c r="U28" s="17">
        <f t="shared" si="13"/>
        <v>214.64285714285722</v>
      </c>
      <c r="V28" s="17">
        <f t="shared" si="14"/>
        <v>214.64285714285722</v>
      </c>
      <c r="W28" s="17">
        <f t="shared" si="1"/>
        <v>0</v>
      </c>
      <c r="X28" s="8">
        <v>16</v>
      </c>
      <c r="Y28" s="53">
        <f t="shared" si="2"/>
        <v>83075</v>
      </c>
      <c r="Z28" s="53">
        <f t="shared" si="15"/>
        <v>47471.428571428572</v>
      </c>
      <c r="AA28" s="53">
        <f t="shared" si="3"/>
        <v>34056.25</v>
      </c>
      <c r="AB28" s="21">
        <f t="shared" si="16"/>
        <v>49018.75</v>
      </c>
      <c r="AC28" s="23">
        <f t="shared" si="4"/>
        <v>28</v>
      </c>
      <c r="AD28" s="20">
        <f t="shared" si="5"/>
        <v>47471.428571428572</v>
      </c>
      <c r="AE28" s="20">
        <f t="shared" si="6"/>
        <v>19460.714285714286</v>
      </c>
      <c r="AF28" s="20">
        <f t="shared" si="17"/>
        <v>28010.714285714286</v>
      </c>
      <c r="AG28" s="20">
        <f t="shared" si="18"/>
        <v>1.75</v>
      </c>
      <c r="AH28" s="20">
        <f t="shared" si="7"/>
        <v>0</v>
      </c>
      <c r="AI28" s="20"/>
      <c r="AJ28" s="11"/>
    </row>
    <row r="29" spans="1:38" x14ac:dyDescent="0.25">
      <c r="O29" s="25"/>
      <c r="Q29" s="66"/>
      <c r="R29" s="25"/>
      <c r="S29" s="12"/>
      <c r="U29" s="17">
        <f t="shared" si="13"/>
        <v>0</v>
      </c>
      <c r="V29" s="17">
        <f t="shared" si="14"/>
        <v>0</v>
      </c>
      <c r="W29" s="17">
        <f t="shared" si="1"/>
        <v>0</v>
      </c>
      <c r="Y29" s="18"/>
      <c r="Z29" s="53"/>
      <c r="AA29" s="18"/>
      <c r="AB29" s="21"/>
      <c r="AC29" s="23"/>
      <c r="AD29" s="20"/>
      <c r="AE29" s="20"/>
      <c r="AF29" s="20"/>
      <c r="AG29" s="20"/>
      <c r="AI29" s="20"/>
      <c r="AJ29" s="11"/>
      <c r="AL29" s="20"/>
    </row>
    <row r="30" spans="1:38" x14ac:dyDescent="0.25">
      <c r="A30" s="8" t="s">
        <v>26</v>
      </c>
      <c r="B30" s="8" t="s">
        <v>461</v>
      </c>
      <c r="C30" s="8">
        <v>3</v>
      </c>
      <c r="D30" s="8">
        <v>57</v>
      </c>
      <c r="E30" s="8">
        <f t="shared" si="8"/>
        <v>60</v>
      </c>
      <c r="H30" s="8">
        <f t="shared" si="9"/>
        <v>0</v>
      </c>
      <c r="K30" s="8">
        <f t="shared" si="10"/>
        <v>0</v>
      </c>
      <c r="L30" s="8">
        <v>1</v>
      </c>
      <c r="M30" s="8">
        <v>5</v>
      </c>
      <c r="N30" s="8">
        <f t="shared" si="11"/>
        <v>6</v>
      </c>
      <c r="O30" s="25">
        <v>1.5</v>
      </c>
      <c r="P30" s="8">
        <v>1</v>
      </c>
      <c r="Q30" s="66">
        <f>IF(A30='Свод по районам'!$A$14,'Свод по районам'!$G$14,0)</f>
        <v>1.4680097151522031</v>
      </c>
      <c r="R30" s="25">
        <f>ROUND((((C30-F30)*$K$11+(D30-G30)*$K$12)+(F30*$AM$11+G30*$AM$12)+(I30*$K$11*0.2+J30*$K$12*0.2))*P30*O30/1.302/12,1)</f>
        <v>240.3</v>
      </c>
      <c r="S30" s="12">
        <f t="shared" ref="S30:S37" si="19">R30/Q30</f>
        <v>163.69101479351295</v>
      </c>
      <c r="T30" s="8">
        <v>86.7</v>
      </c>
      <c r="U30" s="17">
        <f>S30-T30</f>
        <v>76.991014793512946</v>
      </c>
      <c r="V30" s="17">
        <f t="shared" si="14"/>
        <v>76.991014793512946</v>
      </c>
      <c r="W30" s="17">
        <f t="shared" si="1"/>
        <v>0</v>
      </c>
      <c r="Y30" s="18" t="e">
        <f t="shared" ref="Y30:Y38" si="20">R30/X30*1000</f>
        <v>#DIV/0!</v>
      </c>
      <c r="Z30" s="53" t="e">
        <f t="shared" si="15"/>
        <v>#DIV/0!</v>
      </c>
      <c r="AA30" s="18" t="e">
        <f t="shared" ref="AA30:AA38" si="21">T30/X30*1000</f>
        <v>#DIV/0!</v>
      </c>
      <c r="AB30" s="21" t="e">
        <f t="shared" si="16"/>
        <v>#DIV/0!</v>
      </c>
      <c r="AC30" s="23">
        <f t="shared" ref="AC30:AC37" si="22">(L30*$E$11+M30*$E$12)+(F30*$AH$11+G30*$AH$12)</f>
        <v>11.833333333333334</v>
      </c>
      <c r="AD30" s="20">
        <f t="shared" ref="AD30:AD38" si="23">R30/AC30*1000</f>
        <v>20307.042253521126</v>
      </c>
      <c r="AE30" s="20">
        <f t="shared" ref="AE30:AE38" si="24">T30/AC30*1000</f>
        <v>7326.7605633802814</v>
      </c>
      <c r="AF30" s="20">
        <f t="shared" si="17"/>
        <v>12980.281690140844</v>
      </c>
      <c r="AG30" s="20">
        <f>'по детям'!AN78</f>
        <v>1.4006924771797293</v>
      </c>
      <c r="AI30" s="20"/>
      <c r="AJ30" s="11"/>
    </row>
    <row r="31" spans="1:38" x14ac:dyDescent="0.25">
      <c r="A31" s="8" t="s">
        <v>29</v>
      </c>
      <c r="B31" s="8" t="s">
        <v>462</v>
      </c>
      <c r="D31" s="8">
        <v>23</v>
      </c>
      <c r="E31" s="8">
        <f t="shared" si="8"/>
        <v>23</v>
      </c>
      <c r="H31" s="8">
        <f t="shared" si="9"/>
        <v>0</v>
      </c>
      <c r="K31" s="8">
        <f t="shared" si="10"/>
        <v>0</v>
      </c>
      <c r="M31" s="8">
        <v>2</v>
      </c>
      <c r="N31" s="8">
        <f t="shared" si="11"/>
        <v>2</v>
      </c>
      <c r="O31" s="81">
        <v>1.5</v>
      </c>
      <c r="P31" s="8">
        <v>1</v>
      </c>
      <c r="Q31" s="66">
        <f>IF(A31='Свод по районам'!$A$17,'Свод по районам'!$G$17,0)</f>
        <v>1.5018371918905604</v>
      </c>
      <c r="R31" s="25">
        <f>ROUND((((C31-F31)*$K$11+(D31-G31)*$K$12)+(F31*$AM$11+G31*$AM$12)+(I31*$K$11*0.2+J31*$K$12*0.2))*P31*O31/1.302/12,1)</f>
        <v>93.8</v>
      </c>
      <c r="S31" s="12">
        <f t="shared" si="19"/>
        <v>62.456836537602037</v>
      </c>
      <c r="T31" s="8">
        <v>56.3</v>
      </c>
      <c r="U31" s="17">
        <f t="shared" si="13"/>
        <v>6.1568365376020395</v>
      </c>
      <c r="V31" s="17">
        <f t="shared" si="14"/>
        <v>6.1568365376020395</v>
      </c>
      <c r="W31" s="17">
        <f t="shared" si="1"/>
        <v>0</v>
      </c>
      <c r="Y31" s="18" t="e">
        <f t="shared" si="20"/>
        <v>#DIV/0!</v>
      </c>
      <c r="Z31" s="53" t="e">
        <f t="shared" si="15"/>
        <v>#DIV/0!</v>
      </c>
      <c r="AA31" s="18" t="e">
        <f t="shared" si="21"/>
        <v>#DIV/0!</v>
      </c>
      <c r="AB31" s="21" t="e">
        <f t="shared" si="16"/>
        <v>#DIV/0!</v>
      </c>
      <c r="AC31" s="23">
        <f t="shared" si="22"/>
        <v>4</v>
      </c>
      <c r="AD31" s="20">
        <f t="shared" si="23"/>
        <v>23450</v>
      </c>
      <c r="AE31" s="20">
        <f t="shared" si="24"/>
        <v>14075</v>
      </c>
      <c r="AF31" s="20">
        <f t="shared" si="17"/>
        <v>9375</v>
      </c>
      <c r="AG31" s="20">
        <f>малокомпл!AK152</f>
        <v>4.7336377473363775</v>
      </c>
      <c r="AI31" s="20"/>
      <c r="AJ31" s="11"/>
    </row>
    <row r="32" spans="1:38" x14ac:dyDescent="0.25">
      <c r="A32" s="8" t="s">
        <v>31</v>
      </c>
      <c r="B32" s="27" t="s">
        <v>463</v>
      </c>
      <c r="C32" s="8">
        <v>8</v>
      </c>
      <c r="D32" s="8">
        <v>32</v>
      </c>
      <c r="E32" s="8">
        <f t="shared" si="8"/>
        <v>40</v>
      </c>
      <c r="H32" s="8">
        <f t="shared" si="9"/>
        <v>0</v>
      </c>
      <c r="K32" s="8">
        <f t="shared" si="10"/>
        <v>0</v>
      </c>
      <c r="L32" s="8">
        <v>1</v>
      </c>
      <c r="M32" s="8">
        <v>4</v>
      </c>
      <c r="N32" s="8">
        <f t="shared" si="11"/>
        <v>5</v>
      </c>
      <c r="O32" s="81">
        <v>1.5</v>
      </c>
      <c r="P32" s="8">
        <v>1.25</v>
      </c>
      <c r="Q32" s="66">
        <f>IF(A32='Свод по районам'!$A$19,'Свод по районам'!$G$19,0)</f>
        <v>1.4181765086020945</v>
      </c>
      <c r="R32" s="25">
        <f>ROUND((((C32-F32)*$AA$11+(D32-G32)*$AA$12)+(F32*$AM$11+G32*$AM$12)+(I32*$AA$11*0.2+J32*$AA$12*0.2))*P32*O32/1.302/12,1)</f>
        <v>284.3</v>
      </c>
      <c r="S32" s="12">
        <f t="shared" si="19"/>
        <v>200.46869925961212</v>
      </c>
      <c r="T32" s="8">
        <v>121.2</v>
      </c>
      <c r="U32" s="17">
        <f t="shared" si="13"/>
        <v>79.26869925961212</v>
      </c>
      <c r="V32" s="17">
        <f t="shared" si="14"/>
        <v>79.26869925961212</v>
      </c>
      <c r="W32" s="17">
        <f t="shared" si="1"/>
        <v>0</v>
      </c>
      <c r="Y32" s="18" t="e">
        <f t="shared" si="20"/>
        <v>#DIV/0!</v>
      </c>
      <c r="Z32" s="53" t="e">
        <f t="shared" si="15"/>
        <v>#DIV/0!</v>
      </c>
      <c r="AA32" s="18" t="e">
        <f t="shared" si="21"/>
        <v>#DIV/0!</v>
      </c>
      <c r="AB32" s="21" t="e">
        <f t="shared" si="16"/>
        <v>#DIV/0!</v>
      </c>
      <c r="AC32" s="23">
        <f t="shared" si="22"/>
        <v>9.8333333333333339</v>
      </c>
      <c r="AD32" s="20">
        <f t="shared" si="23"/>
        <v>28911.864406779659</v>
      </c>
      <c r="AE32" s="20">
        <f t="shared" si="24"/>
        <v>12325.423728813559</v>
      </c>
      <c r="AF32" s="20">
        <f t="shared" si="17"/>
        <v>16586.4406779661</v>
      </c>
      <c r="AG32" s="20">
        <f>'по детям'!AN119</f>
        <v>1.1882716049382716</v>
      </c>
      <c r="AI32" s="20"/>
      <c r="AJ32" s="11"/>
    </row>
    <row r="33" spans="1:36" x14ac:dyDescent="0.25">
      <c r="A33" s="8" t="s">
        <v>33</v>
      </c>
      <c r="B33" s="8" t="s">
        <v>464</v>
      </c>
      <c r="D33" s="8">
        <v>13</v>
      </c>
      <c r="E33" s="8">
        <f t="shared" si="8"/>
        <v>13</v>
      </c>
      <c r="H33" s="8">
        <f t="shared" si="9"/>
        <v>0</v>
      </c>
      <c r="K33" s="8">
        <f t="shared" si="10"/>
        <v>0</v>
      </c>
      <c r="M33" s="8">
        <v>2</v>
      </c>
      <c r="N33" s="8">
        <f t="shared" si="11"/>
        <v>2</v>
      </c>
      <c r="O33" s="81">
        <v>1.5</v>
      </c>
      <c r="P33" s="8">
        <v>1.25</v>
      </c>
      <c r="Q33" s="66">
        <f>IF(A33='Свод по районам'!$A$21,'Свод по районам'!$G$21,0)</f>
        <v>1.519849143706421</v>
      </c>
      <c r="R33" s="25">
        <f>ROUND((((C33-F33)*$K$11+(D33-G33)*$K$12)+(F33*$AM$11+G33*$AM$12)+(I33*$K$11*0.2+J33*$K$12*0.2))*P33*O33/1.302/12,1)</f>
        <v>66.3</v>
      </c>
      <c r="S33" s="12">
        <f t="shared" si="19"/>
        <v>43.62275050424789</v>
      </c>
      <c r="T33" s="8">
        <v>22.2</v>
      </c>
      <c r="U33" s="17">
        <f t="shared" si="13"/>
        <v>21.42275050424789</v>
      </c>
      <c r="V33" s="17">
        <f t="shared" si="14"/>
        <v>21.42275050424789</v>
      </c>
      <c r="W33" s="17">
        <f t="shared" si="1"/>
        <v>0</v>
      </c>
      <c r="Y33" s="18" t="e">
        <f t="shared" si="20"/>
        <v>#DIV/0!</v>
      </c>
      <c r="Z33" s="53" t="e">
        <f t="shared" si="15"/>
        <v>#DIV/0!</v>
      </c>
      <c r="AA33" s="18" t="e">
        <f t="shared" si="21"/>
        <v>#DIV/0!</v>
      </c>
      <c r="AB33" s="21" t="e">
        <f t="shared" si="16"/>
        <v>#DIV/0!</v>
      </c>
      <c r="AC33" s="23">
        <f t="shared" si="22"/>
        <v>4</v>
      </c>
      <c r="AD33" s="20">
        <f t="shared" si="23"/>
        <v>16575</v>
      </c>
      <c r="AE33" s="20">
        <f t="shared" si="24"/>
        <v>5550</v>
      </c>
      <c r="AF33" s="20">
        <f t="shared" si="17"/>
        <v>11025</v>
      </c>
      <c r="AG33" s="20">
        <f>'по детям'!AN124</f>
        <v>1.3144603934077619</v>
      </c>
      <c r="AI33" s="20"/>
      <c r="AJ33" s="11"/>
    </row>
    <row r="34" spans="1:36" x14ac:dyDescent="0.25">
      <c r="A34" s="8" t="s">
        <v>36</v>
      </c>
      <c r="B34" s="8" t="s">
        <v>465</v>
      </c>
      <c r="C34" s="8">
        <v>2</v>
      </c>
      <c r="D34" s="8">
        <v>2</v>
      </c>
      <c r="E34" s="8">
        <f t="shared" si="8"/>
        <v>4</v>
      </c>
      <c r="H34" s="8">
        <f t="shared" si="9"/>
        <v>0</v>
      </c>
      <c r="K34" s="8">
        <f t="shared" si="10"/>
        <v>0</v>
      </c>
      <c r="L34" s="8">
        <v>1</v>
      </c>
      <c r="M34" s="8">
        <v>1</v>
      </c>
      <c r="N34" s="8">
        <f t="shared" si="11"/>
        <v>2</v>
      </c>
      <c r="O34" s="81">
        <v>1.5</v>
      </c>
      <c r="P34" s="8">
        <v>1.25</v>
      </c>
      <c r="Q34" s="66">
        <f>IF(A34='Свод по районам'!$A$24,'Свод по районам'!$G$24,0)</f>
        <v>1.5284297052154194</v>
      </c>
      <c r="R34" s="25">
        <f>ROUND((((C34-F34)*$K$11+(D34-G34)*$K$12)+(F34*$AM$11+G34*$AM$12)+(I34*$K$11*0.2+J34*$K$12*0.2))*P34*O34/1.302/12,1)</f>
        <v>16.7</v>
      </c>
      <c r="S34" s="12">
        <f t="shared" si="19"/>
        <v>10.926246685087996</v>
      </c>
      <c r="T34" s="8">
        <v>3.4</v>
      </c>
      <c r="U34" s="17">
        <f t="shared" si="13"/>
        <v>7.5262466850879957</v>
      </c>
      <c r="V34" s="17">
        <f t="shared" si="14"/>
        <v>7.5262466850879957</v>
      </c>
      <c r="W34" s="17">
        <f t="shared" si="1"/>
        <v>0</v>
      </c>
      <c r="Y34" s="18" t="e">
        <f t="shared" si="20"/>
        <v>#DIV/0!</v>
      </c>
      <c r="Z34" s="53" t="e">
        <f t="shared" si="15"/>
        <v>#DIV/0!</v>
      </c>
      <c r="AA34" s="18" t="e">
        <f t="shared" si="21"/>
        <v>#DIV/0!</v>
      </c>
      <c r="AB34" s="21" t="e">
        <f t="shared" si="16"/>
        <v>#DIV/0!</v>
      </c>
      <c r="AC34" s="23">
        <f t="shared" si="22"/>
        <v>3.833333333333333</v>
      </c>
      <c r="AD34" s="20">
        <f t="shared" si="23"/>
        <v>4356.521739130435</v>
      </c>
      <c r="AE34" s="20">
        <f t="shared" si="24"/>
        <v>886.95652173913049</v>
      </c>
      <c r="AF34" s="20">
        <f t="shared" si="17"/>
        <v>3469.5652173913045</v>
      </c>
      <c r="AG34" s="20">
        <f>'по детям'!AN149</f>
        <v>1.3074074074074071</v>
      </c>
      <c r="AI34" s="20"/>
      <c r="AJ34" s="11"/>
    </row>
    <row r="35" spans="1:36" x14ac:dyDescent="0.25">
      <c r="A35" s="8" t="s">
        <v>36</v>
      </c>
      <c r="B35" s="8" t="s">
        <v>466</v>
      </c>
      <c r="C35" s="8">
        <v>1</v>
      </c>
      <c r="D35" s="8">
        <v>2</v>
      </c>
      <c r="E35" s="8">
        <f t="shared" si="8"/>
        <v>3</v>
      </c>
      <c r="H35" s="8">
        <f t="shared" si="9"/>
        <v>0</v>
      </c>
      <c r="K35" s="8">
        <f t="shared" si="10"/>
        <v>0</v>
      </c>
      <c r="L35" s="8">
        <v>1</v>
      </c>
      <c r="M35" s="8">
        <v>1</v>
      </c>
      <c r="N35" s="8">
        <f t="shared" si="11"/>
        <v>2</v>
      </c>
      <c r="O35" s="81">
        <v>1.5</v>
      </c>
      <c r="P35" s="8">
        <v>1.25</v>
      </c>
      <c r="Q35" s="66">
        <f>IF(A35='Свод по районам'!$A$24,'Свод по районам'!$G$24,0)</f>
        <v>1.5284297052154194</v>
      </c>
      <c r="R35" s="25">
        <f>ROUND((((C35-F35)*$K$11+(D35-G35)*$K$12)+(F35*$AM$11+G35*$AM$12)+(I35*$K$11*0.2+J35*$K$12*0.2))*P35*O35/1.302/12,1)</f>
        <v>13.5</v>
      </c>
      <c r="S35" s="12">
        <f t="shared" si="19"/>
        <v>8.8325946256699375</v>
      </c>
      <c r="T35" s="8">
        <v>3.4</v>
      </c>
      <c r="U35" s="17">
        <f t="shared" si="13"/>
        <v>5.4325946256699371</v>
      </c>
      <c r="V35" s="17">
        <f t="shared" si="14"/>
        <v>5.4325946256699371</v>
      </c>
      <c r="W35" s="17">
        <f t="shared" si="1"/>
        <v>0</v>
      </c>
      <c r="Y35" s="18" t="e">
        <f t="shared" si="20"/>
        <v>#DIV/0!</v>
      </c>
      <c r="Z35" s="53" t="e">
        <f t="shared" si="15"/>
        <v>#DIV/0!</v>
      </c>
      <c r="AA35" s="18" t="e">
        <f t="shared" si="21"/>
        <v>#DIV/0!</v>
      </c>
      <c r="AB35" s="21" t="e">
        <f t="shared" si="16"/>
        <v>#DIV/0!</v>
      </c>
      <c r="AC35" s="23">
        <f t="shared" si="22"/>
        <v>3.833333333333333</v>
      </c>
      <c r="AD35" s="20">
        <f t="shared" si="23"/>
        <v>3521.7391304347825</v>
      </c>
      <c r="AE35" s="20">
        <f t="shared" si="24"/>
        <v>886.95652173913049</v>
      </c>
      <c r="AF35" s="20">
        <f t="shared" si="17"/>
        <v>2634.782608695652</v>
      </c>
      <c r="AG35" s="20">
        <f>'по детям'!AN147</f>
        <v>1.4907407407407405</v>
      </c>
      <c r="AI35" s="20"/>
      <c r="AJ35" s="11"/>
    </row>
    <row r="36" spans="1:36" x14ac:dyDescent="0.25">
      <c r="A36" s="8" t="s">
        <v>36</v>
      </c>
      <c r="B36" s="8" t="s">
        <v>467</v>
      </c>
      <c r="C36" s="8">
        <v>1</v>
      </c>
      <c r="E36" s="8">
        <f t="shared" si="8"/>
        <v>1</v>
      </c>
      <c r="H36" s="8">
        <f t="shared" si="9"/>
        <v>0</v>
      </c>
      <c r="K36" s="8">
        <f t="shared" si="10"/>
        <v>0</v>
      </c>
      <c r="L36" s="8">
        <v>1</v>
      </c>
      <c r="N36" s="8">
        <f t="shared" si="11"/>
        <v>1</v>
      </c>
      <c r="O36" s="81">
        <v>1.5</v>
      </c>
      <c r="P36" s="8">
        <v>1.25</v>
      </c>
      <c r="Q36" s="66">
        <f>IF(A36='Свод по районам'!$A$24,'Свод по районам'!$G$24,0)</f>
        <v>1.5284297052154194</v>
      </c>
      <c r="R36" s="25">
        <f>ROUND((((C36-F36)*$K$11+(D36-G36)*$K$12)+(F36*$AM$11+G36*$AM$12)+(I36*$K$11*0.2+J36*$K$12*0.2))*P36*O36/1.302/12,1)</f>
        <v>3.3</v>
      </c>
      <c r="S36" s="12">
        <f t="shared" si="19"/>
        <v>2.1590786862748734</v>
      </c>
      <c r="T36" s="8">
        <v>3.4</v>
      </c>
      <c r="U36" s="17">
        <f t="shared" si="13"/>
        <v>-1.2409213137251265</v>
      </c>
      <c r="V36" s="17">
        <f t="shared" si="14"/>
        <v>0</v>
      </c>
      <c r="W36" s="17">
        <f t="shared" si="1"/>
        <v>-1.2409213137251265</v>
      </c>
      <c r="Y36" s="18" t="e">
        <f t="shared" si="20"/>
        <v>#DIV/0!</v>
      </c>
      <c r="Z36" s="53" t="e">
        <f t="shared" si="15"/>
        <v>#DIV/0!</v>
      </c>
      <c r="AA36" s="18" t="e">
        <f t="shared" si="21"/>
        <v>#DIV/0!</v>
      </c>
      <c r="AB36" s="21" t="e">
        <f t="shared" si="16"/>
        <v>#DIV/0!</v>
      </c>
      <c r="AC36" s="23">
        <f t="shared" si="22"/>
        <v>1.8333333333333333</v>
      </c>
      <c r="AD36" s="20">
        <f t="shared" si="23"/>
        <v>1800</v>
      </c>
      <c r="AE36" s="20">
        <f t="shared" si="24"/>
        <v>1854.5454545454545</v>
      </c>
      <c r="AF36" s="20">
        <f t="shared" si="17"/>
        <v>-54.545454545454504</v>
      </c>
      <c r="AG36" s="20">
        <f>малокомпл!AK207</f>
        <v>2.1944444444444442</v>
      </c>
      <c r="AI36" s="20"/>
      <c r="AJ36" s="11"/>
    </row>
    <row r="37" spans="1:36" x14ac:dyDescent="0.25">
      <c r="A37" s="8" t="s">
        <v>275</v>
      </c>
      <c r="B37" s="8" t="s">
        <v>468</v>
      </c>
      <c r="C37" s="8">
        <v>12</v>
      </c>
      <c r="D37" s="8">
        <v>49</v>
      </c>
      <c r="E37" s="8">
        <f t="shared" si="8"/>
        <v>61</v>
      </c>
      <c r="H37" s="8">
        <f t="shared" si="9"/>
        <v>0</v>
      </c>
      <c r="K37" s="8">
        <f t="shared" si="10"/>
        <v>0</v>
      </c>
      <c r="L37" s="8">
        <v>1</v>
      </c>
      <c r="M37" s="8">
        <v>5</v>
      </c>
      <c r="N37" s="8">
        <f t="shared" si="11"/>
        <v>6</v>
      </c>
      <c r="O37" s="25">
        <v>2.2000000000000002</v>
      </c>
      <c r="P37" s="8">
        <v>1.25</v>
      </c>
      <c r="Q37" s="66">
        <f>IF(A37='Свод по районам'!$A$27,'Свод по районам'!$G$27,0)</f>
        <v>1.4249213898679656</v>
      </c>
      <c r="R37" s="25">
        <f>ROUND((((C37-F37)*$K$11+(D37-G37)*$K$12)+(F37*$AM$11+G37*$AM$12)+(I37*$K$11*0.2+J37*$K$12*0.2))*P37*O37/1.302/12,1)</f>
        <v>423.8</v>
      </c>
      <c r="S37" s="12">
        <f t="shared" si="19"/>
        <v>297.41991594306103</v>
      </c>
      <c r="T37" s="8">
        <v>97.6</v>
      </c>
      <c r="U37" s="17">
        <f t="shared" si="13"/>
        <v>199.81991594306103</v>
      </c>
      <c r="V37" s="17">
        <f t="shared" si="14"/>
        <v>199.81991594306103</v>
      </c>
      <c r="W37" s="17">
        <f t="shared" si="1"/>
        <v>0</v>
      </c>
      <c r="Y37" s="18" t="e">
        <f t="shared" si="20"/>
        <v>#DIV/0!</v>
      </c>
      <c r="Z37" s="53" t="e">
        <f t="shared" si="15"/>
        <v>#DIV/0!</v>
      </c>
      <c r="AA37" s="18" t="e">
        <f t="shared" si="21"/>
        <v>#DIV/0!</v>
      </c>
      <c r="AB37" s="21" t="e">
        <f t="shared" si="16"/>
        <v>#DIV/0!</v>
      </c>
      <c r="AC37" s="23">
        <f t="shared" si="22"/>
        <v>11.833333333333334</v>
      </c>
      <c r="AD37" s="20">
        <f t="shared" si="23"/>
        <v>35814.084507042251</v>
      </c>
      <c r="AE37" s="20">
        <f t="shared" si="24"/>
        <v>8247.8873239436616</v>
      </c>
      <c r="AF37" s="20">
        <f t="shared" si="17"/>
        <v>27566.197183098589</v>
      </c>
      <c r="AG37" s="20">
        <f>'по детям'!AN167</f>
        <v>1.272030651340996</v>
      </c>
      <c r="AI37" s="20"/>
      <c r="AJ37" s="11"/>
    </row>
    <row r="38" spans="1:36" x14ac:dyDescent="0.25">
      <c r="B38" s="8" t="s">
        <v>268</v>
      </c>
      <c r="C38" s="8">
        <f t="shared" ref="C38:N38" si="25">SUM(C16:C37)</f>
        <v>315</v>
      </c>
      <c r="D38" s="8">
        <f t="shared" si="25"/>
        <v>1817</v>
      </c>
      <c r="E38" s="8">
        <f t="shared" si="25"/>
        <v>2132</v>
      </c>
      <c r="F38" s="8">
        <f t="shared" si="25"/>
        <v>1</v>
      </c>
      <c r="G38" s="8">
        <f t="shared" si="25"/>
        <v>0</v>
      </c>
      <c r="H38" s="8">
        <f t="shared" si="25"/>
        <v>1</v>
      </c>
      <c r="I38" s="8">
        <f t="shared" si="25"/>
        <v>3</v>
      </c>
      <c r="J38" s="8">
        <f t="shared" si="25"/>
        <v>3</v>
      </c>
      <c r="K38" s="8">
        <f t="shared" si="25"/>
        <v>6</v>
      </c>
      <c r="L38" s="8">
        <f t="shared" si="25"/>
        <v>33</v>
      </c>
      <c r="M38" s="8">
        <f t="shared" si="25"/>
        <v>122</v>
      </c>
      <c r="N38" s="8">
        <f t="shared" si="25"/>
        <v>155</v>
      </c>
      <c r="R38" s="8">
        <f t="shared" ref="R38:X38" si="26">SUM(R16:R37)</f>
        <v>10678.199999999997</v>
      </c>
      <c r="S38" s="23">
        <f t="shared" si="26"/>
        <v>4277.701684501767</v>
      </c>
      <c r="T38" s="8">
        <f t="shared" si="26"/>
        <v>3873.5</v>
      </c>
      <c r="U38" s="8">
        <f t="shared" si="26"/>
        <v>404.20168450176709</v>
      </c>
      <c r="V38" s="8">
        <f t="shared" si="26"/>
        <v>797.05144343119889</v>
      </c>
      <c r="W38" s="8">
        <f t="shared" si="26"/>
        <v>-392.8497589294318</v>
      </c>
      <c r="X38" s="8">
        <f t="shared" si="26"/>
        <v>86.8</v>
      </c>
      <c r="Y38" s="18">
        <f t="shared" si="20"/>
        <v>123020.73732718891</v>
      </c>
      <c r="Z38" s="18"/>
      <c r="AA38" s="18">
        <f t="shared" si="21"/>
        <v>44625.576036866361</v>
      </c>
      <c r="AB38" s="21">
        <f>Y38-AA38</f>
        <v>78395.161290322547</v>
      </c>
      <c r="AC38" s="23">
        <f>SUM(AC16:AC37)</f>
        <v>305.11111111111103</v>
      </c>
      <c r="AD38" s="20">
        <f t="shared" si="23"/>
        <v>34997.742170429716</v>
      </c>
      <c r="AE38" s="20">
        <f t="shared" si="24"/>
        <v>12695.375091041518</v>
      </c>
      <c r="AF38" s="20">
        <f>AD38-AE38</f>
        <v>22302.367079388197</v>
      </c>
      <c r="AG38" s="20">
        <f t="shared" si="18"/>
        <v>3.5151049667178693</v>
      </c>
      <c r="AJ38" s="20"/>
    </row>
    <row r="39" spans="1:36" x14ac:dyDescent="0.25">
      <c r="R39" s="17">
        <f t="shared" ref="R39:W39" si="27">R38*12*1.302</f>
        <v>166836.19679999995</v>
      </c>
      <c r="S39" s="17">
        <f t="shared" si="27"/>
        <v>66834.811118655605</v>
      </c>
      <c r="T39" s="17">
        <f t="shared" si="27"/>
        <v>60519.564000000006</v>
      </c>
      <c r="U39" s="17">
        <f t="shared" si="27"/>
        <v>6315.2471186556095</v>
      </c>
      <c r="V39" s="17">
        <f t="shared" si="27"/>
        <v>12453.131752169051</v>
      </c>
      <c r="W39" s="17">
        <f t="shared" si="27"/>
        <v>-6137.8846335134431</v>
      </c>
    </row>
    <row r="40" spans="1:36" x14ac:dyDescent="0.25">
      <c r="E40" s="8">
        <f>E38*1.5</f>
        <v>3198</v>
      </c>
      <c r="R40" s="19">
        <f>R39*1.25</f>
        <v>208545.24599999993</v>
      </c>
      <c r="S40" s="19">
        <f>S39*1.25</f>
        <v>83543.513898319507</v>
      </c>
      <c r="T40" s="19">
        <f>T39*1.25</f>
        <v>75649.455000000002</v>
      </c>
    </row>
    <row r="41" spans="1:36" x14ac:dyDescent="0.25">
      <c r="R41" s="19">
        <f>R40+E40</f>
        <v>211743.24599999993</v>
      </c>
      <c r="S41" s="19">
        <f>S40+E40</f>
        <v>86741.513898319507</v>
      </c>
      <c r="T41" s="19">
        <f>T40+E40</f>
        <v>78847.455000000002</v>
      </c>
    </row>
  </sheetData>
  <customSheetViews>
    <customSheetView guid="{4133D4E7-E8A6-4C76-8386-CAD92A178FB1}" scale="70">
      <selection activeCell="B36" sqref="B36"/>
      <pageMargins left="0.7" right="0.7" top="0.75" bottom="0.75" header="0.3" footer="0.3"/>
    </customSheetView>
    <customSheetView guid="{E6CA5BE8-E4DB-45B9-BD02-6D0572E660A3}" scale="70" topLeftCell="A4">
      <pane xSplit="2" ySplit="11" topLeftCell="U15" activePane="bottomRight" state="frozen"/>
      <selection pane="bottomRight" activeCell="C15" sqref="C15"/>
      <pageMargins left="0.7" right="0.7" top="0.75" bottom="0.75" header="0.3" footer="0.3"/>
    </customSheetView>
  </customSheetViews>
  <mergeCells count="37">
    <mergeCell ref="A10:B10"/>
    <mergeCell ref="N10:Q10"/>
    <mergeCell ref="AC10:AE10"/>
    <mergeCell ref="S14:S15"/>
    <mergeCell ref="AG14:AG15"/>
    <mergeCell ref="X14:AB14"/>
    <mergeCell ref="AC14:AF14"/>
    <mergeCell ref="T14:T15"/>
    <mergeCell ref="U14:U15"/>
    <mergeCell ref="V14:V15"/>
    <mergeCell ref="W14:W15"/>
    <mergeCell ref="A14:A15"/>
    <mergeCell ref="B14:B15"/>
    <mergeCell ref="O14:O15"/>
    <mergeCell ref="P14:P15"/>
    <mergeCell ref="R14:R15"/>
    <mergeCell ref="AH14:AH15"/>
    <mergeCell ref="A12:B12"/>
    <mergeCell ref="AC12:AE12"/>
    <mergeCell ref="A5:L5"/>
    <mergeCell ref="A7:B9"/>
    <mergeCell ref="AC7:AE9"/>
    <mergeCell ref="A11:B11"/>
    <mergeCell ref="N7:Q9"/>
    <mergeCell ref="N11:Q11"/>
    <mergeCell ref="N12:Q12"/>
    <mergeCell ref="AC11:AE11"/>
    <mergeCell ref="C14:E14"/>
    <mergeCell ref="F14:H14"/>
    <mergeCell ref="I14:K14"/>
    <mergeCell ref="L14:N14"/>
    <mergeCell ref="Q14:Q15"/>
    <mergeCell ref="C7:K8"/>
    <mergeCell ref="R7:AA8"/>
    <mergeCell ref="N5:AA5"/>
    <mergeCell ref="AF7:AM8"/>
    <mergeCell ref="AC5:A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0" zoomScaleNormal="70" workbookViewId="0">
      <selection activeCell="B17" sqref="B17"/>
    </sheetView>
  </sheetViews>
  <sheetFormatPr defaultRowHeight="15" x14ac:dyDescent="0.25"/>
  <cols>
    <col min="1" max="5" width="20" style="8" customWidth="1"/>
    <col min="6" max="7" width="16.5703125" style="8" customWidth="1"/>
    <col min="8" max="8" width="15.7109375" style="8" customWidth="1"/>
    <col min="9" max="9" width="17.42578125" style="8" customWidth="1"/>
    <col min="10" max="10" width="11.5703125" style="8" customWidth="1"/>
    <col min="11" max="11" width="14.5703125" style="8" customWidth="1"/>
    <col min="12" max="16384" width="9.140625" style="8"/>
  </cols>
  <sheetData>
    <row r="1" spans="1:7" x14ac:dyDescent="0.25">
      <c r="A1" s="8" t="s">
        <v>500</v>
      </c>
    </row>
    <row r="4" spans="1:7" x14ac:dyDescent="0.25">
      <c r="A4" s="57"/>
      <c r="B4" s="116" t="s">
        <v>483</v>
      </c>
      <c r="C4" s="116"/>
      <c r="D4" s="116"/>
      <c r="E4" s="116"/>
      <c r="F4" s="30"/>
      <c r="G4" s="30"/>
    </row>
    <row r="5" spans="1:7" s="31" customFormat="1" ht="70.5" customHeight="1" x14ac:dyDescent="0.25">
      <c r="A5" s="39"/>
      <c r="B5" s="40" t="s">
        <v>480</v>
      </c>
      <c r="C5" s="40" t="s">
        <v>481</v>
      </c>
      <c r="D5" s="40" t="s">
        <v>471</v>
      </c>
      <c r="E5" s="40" t="s">
        <v>482</v>
      </c>
      <c r="F5" s="9"/>
      <c r="G5" s="9"/>
    </row>
    <row r="6" spans="1:7" x14ac:dyDescent="0.25">
      <c r="A6" s="58" t="s">
        <v>477</v>
      </c>
      <c r="B6" s="59">
        <f>'по детям'!V225</f>
        <v>5353476.1055999976</v>
      </c>
      <c r="C6" s="59">
        <f>B6*1.25</f>
        <v>6691845.1319999974</v>
      </c>
      <c r="D6" s="59">
        <f>'по детям'!F224*1.5</f>
        <v>188986.5</v>
      </c>
      <c r="E6" s="60">
        <f>C6+D6</f>
        <v>6880831.6319999974</v>
      </c>
      <c r="F6" s="55"/>
      <c r="G6" s="55"/>
    </row>
    <row r="7" spans="1:7" x14ac:dyDescent="0.25">
      <c r="A7" s="58" t="s">
        <v>478</v>
      </c>
      <c r="B7" s="59">
        <f>малокомпл!S239</f>
        <v>1341439.1424000012</v>
      </c>
      <c r="C7" s="59">
        <f>B7*1.25</f>
        <v>1676798.9280000015</v>
      </c>
      <c r="D7" s="59">
        <f>малокомпл!F240*1.5</f>
        <v>17850</v>
      </c>
      <c r="E7" s="60">
        <f>C7+D7</f>
        <v>1694648.9280000015</v>
      </c>
      <c r="F7" s="55"/>
      <c r="G7" s="55"/>
    </row>
    <row r="8" spans="1:7" x14ac:dyDescent="0.25">
      <c r="A8" s="58" t="s">
        <v>479</v>
      </c>
      <c r="B8" s="59">
        <f>вечерние!R39</f>
        <v>166836.19679999995</v>
      </c>
      <c r="C8" s="59">
        <f>B8*1.25</f>
        <v>208545.24599999993</v>
      </c>
      <c r="D8" s="59">
        <f>вечерние!E38*1.5</f>
        <v>3198</v>
      </c>
      <c r="E8" s="60">
        <f>C8+D8</f>
        <v>211743.24599999993</v>
      </c>
      <c r="F8" s="55"/>
      <c r="G8" s="55"/>
    </row>
    <row r="9" spans="1:7" x14ac:dyDescent="0.25">
      <c r="A9" s="39" t="s">
        <v>268</v>
      </c>
      <c r="B9" s="59">
        <f>SUM(B6:B8)</f>
        <v>6861751.4447999988</v>
      </c>
      <c r="C9" s="59">
        <f>SUM(C6:C8)</f>
        <v>8577189.305999998</v>
      </c>
      <c r="D9" s="59">
        <f>SUM(D6:D8)</f>
        <v>210034.5</v>
      </c>
      <c r="E9" s="59">
        <f>SUM(E6:E8)</f>
        <v>8787223.805999998</v>
      </c>
      <c r="F9" s="54"/>
      <c r="G9" s="54"/>
    </row>
    <row r="10" spans="1:7" x14ac:dyDescent="0.25">
      <c r="D10" s="32" t="s">
        <v>473</v>
      </c>
      <c r="E10" s="55">
        <v>6007203.9000000004</v>
      </c>
      <c r="F10" s="55"/>
      <c r="G10" s="55"/>
    </row>
    <row r="11" spans="1:7" x14ac:dyDescent="0.25">
      <c r="D11" s="32" t="s">
        <v>472</v>
      </c>
      <c r="E11" s="55">
        <f>E10-E9</f>
        <v>-2780019.9059999976</v>
      </c>
      <c r="F11" s="55"/>
      <c r="G11" s="55"/>
    </row>
    <row r="14" spans="1:7" x14ac:dyDescent="0.25">
      <c r="A14" s="57"/>
      <c r="B14" s="116" t="s">
        <v>486</v>
      </c>
      <c r="C14" s="116"/>
      <c r="D14" s="116"/>
      <c r="E14" s="116"/>
    </row>
    <row r="15" spans="1:7" ht="60" x14ac:dyDescent="0.25">
      <c r="A15" s="57"/>
      <c r="B15" s="40" t="s">
        <v>480</v>
      </c>
      <c r="C15" s="40" t="s">
        <v>481</v>
      </c>
      <c r="D15" s="40" t="s">
        <v>471</v>
      </c>
      <c r="E15" s="40" t="s">
        <v>482</v>
      </c>
    </row>
    <row r="16" spans="1:7" x14ac:dyDescent="0.25">
      <c r="A16" s="58" t="s">
        <v>477</v>
      </c>
      <c r="B16" s="59">
        <f>B6/1.4</f>
        <v>3823911.5039999983</v>
      </c>
      <c r="C16" s="59">
        <f>B16*1.25</f>
        <v>4779889.379999998</v>
      </c>
      <c r="D16" s="59">
        <f>'по детям'!F224*1.5</f>
        <v>188986.5</v>
      </c>
      <c r="E16" s="60">
        <f>C16+D16</f>
        <v>4968875.879999998</v>
      </c>
    </row>
    <row r="17" spans="1:5" x14ac:dyDescent="0.25">
      <c r="A17" s="58" t="s">
        <v>478</v>
      </c>
      <c r="B17" s="59">
        <f>B7/1.4</f>
        <v>958170.81600000092</v>
      </c>
      <c r="C17" s="59">
        <f>B17*1.25</f>
        <v>1197713.5200000012</v>
      </c>
      <c r="D17" s="59">
        <f>малокомпл!F240*1.5</f>
        <v>17850</v>
      </c>
      <c r="E17" s="60">
        <f>C17+D17</f>
        <v>1215563.5200000012</v>
      </c>
    </row>
    <row r="18" spans="1:5" x14ac:dyDescent="0.25">
      <c r="A18" s="58" t="s">
        <v>479</v>
      </c>
      <c r="B18" s="59">
        <f>B8/1.4</f>
        <v>119168.71199999997</v>
      </c>
      <c r="C18" s="59">
        <f>B18*1.25</f>
        <v>148960.88999999996</v>
      </c>
      <c r="D18" s="59">
        <f>вечерние!E38*1.5</f>
        <v>3198</v>
      </c>
      <c r="E18" s="60">
        <f>C18+D18</f>
        <v>152158.88999999996</v>
      </c>
    </row>
    <row r="19" spans="1:5" x14ac:dyDescent="0.25">
      <c r="A19" s="39" t="s">
        <v>268</v>
      </c>
      <c r="B19" s="59">
        <f>SUM(B16:B18)</f>
        <v>4901251.0319999997</v>
      </c>
      <c r="C19" s="59">
        <f>SUM(C16:C18)</f>
        <v>6126563.7899999991</v>
      </c>
      <c r="D19" s="59">
        <f>SUM(D16:D18)</f>
        <v>210034.5</v>
      </c>
      <c r="E19" s="59">
        <f>SUM(E16:E18)</f>
        <v>6336598.2899999991</v>
      </c>
    </row>
    <row r="20" spans="1:5" x14ac:dyDescent="0.25">
      <c r="D20" s="32" t="s">
        <v>473</v>
      </c>
      <c r="E20" s="55">
        <v>6007203.9000000004</v>
      </c>
    </row>
    <row r="21" spans="1:5" x14ac:dyDescent="0.25">
      <c r="D21" s="32" t="s">
        <v>472</v>
      </c>
      <c r="E21" s="55">
        <f>E20-E19</f>
        <v>-329394.38999999873</v>
      </c>
    </row>
    <row r="23" spans="1:5" x14ac:dyDescent="0.25">
      <c r="A23" s="57"/>
      <c r="B23" s="116" t="s">
        <v>496</v>
      </c>
      <c r="C23" s="116"/>
      <c r="D23" s="116"/>
      <c r="E23" s="116"/>
    </row>
    <row r="24" spans="1:5" ht="60" x14ac:dyDescent="0.25">
      <c r="A24" s="57"/>
      <c r="B24" s="67" t="s">
        <v>480</v>
      </c>
      <c r="C24" s="67" t="s">
        <v>481</v>
      </c>
      <c r="D24" s="67" t="s">
        <v>471</v>
      </c>
      <c r="E24" s="67" t="s">
        <v>482</v>
      </c>
    </row>
    <row r="25" spans="1:5" x14ac:dyDescent="0.25">
      <c r="A25" s="58" t="s">
        <v>477</v>
      </c>
      <c r="B25" s="59">
        <f>'по детям'!W225</f>
        <v>3727843.8505740827</v>
      </c>
      <c r="C25" s="59">
        <f>B25*1.25</f>
        <v>4659804.8132176036</v>
      </c>
      <c r="D25" s="59">
        <f>'по детям'!F224*1.5</f>
        <v>188986.5</v>
      </c>
      <c r="E25" s="60">
        <f>C25+D25</f>
        <v>4848791.3132176036</v>
      </c>
    </row>
    <row r="26" spans="1:5" x14ac:dyDescent="0.25">
      <c r="A26" s="58" t="s">
        <v>478</v>
      </c>
      <c r="B26" s="59">
        <f>малокомпл!T239</f>
        <v>949431.13092718623</v>
      </c>
      <c r="C26" s="59">
        <f>B26*1.25</f>
        <v>1186788.9136589828</v>
      </c>
      <c r="D26" s="59">
        <f>малокомпл!F240*1.5</f>
        <v>17850</v>
      </c>
      <c r="E26" s="60">
        <f>C26+D26</f>
        <v>1204638.9136589828</v>
      </c>
    </row>
    <row r="27" spans="1:5" x14ac:dyDescent="0.25">
      <c r="A27" s="58" t="s">
        <v>479</v>
      </c>
      <c r="B27" s="59">
        <f>вечерние!S39</f>
        <v>66834.811118655605</v>
      </c>
      <c r="C27" s="59">
        <f>B27*1.25</f>
        <v>83543.513898319507</v>
      </c>
      <c r="D27" s="59">
        <f>вечерние!E38*1.5</f>
        <v>3198</v>
      </c>
      <c r="E27" s="60">
        <f>C27+D27</f>
        <v>86741.513898319507</v>
      </c>
    </row>
    <row r="28" spans="1:5" x14ac:dyDescent="0.25">
      <c r="A28" s="68" t="s">
        <v>268</v>
      </c>
      <c r="B28" s="59">
        <f>SUM(B25:B27)</f>
        <v>4744109.792619925</v>
      </c>
      <c r="C28" s="59">
        <f>SUM(C25:C27)</f>
        <v>5930137.2407749062</v>
      </c>
      <c r="D28" s="59">
        <f>SUM(D25:D27)</f>
        <v>210034.5</v>
      </c>
      <c r="E28" s="59">
        <f>SUM(E25:E27)</f>
        <v>6140171.7407749062</v>
      </c>
    </row>
    <row r="29" spans="1:5" x14ac:dyDescent="0.25">
      <c r="D29" s="32" t="s">
        <v>473</v>
      </c>
      <c r="E29" s="55">
        <v>6007203.9000000004</v>
      </c>
    </row>
    <row r="30" spans="1:5" x14ac:dyDescent="0.25">
      <c r="D30" s="32" t="s">
        <v>472</v>
      </c>
      <c r="E30" s="55">
        <f>E29-E28</f>
        <v>-132967.84077490587</v>
      </c>
    </row>
  </sheetData>
  <customSheetViews>
    <customSheetView guid="{4133D4E7-E8A6-4C76-8386-CAD92A178FB1}" scale="70">
      <selection activeCell="E25" sqref="E25"/>
      <pageMargins left="0.7" right="0.7" top="0.75" bottom="0.75" header="0.3" footer="0.3"/>
      <pageSetup paperSize="9" orientation="portrait" r:id="rId1"/>
    </customSheetView>
    <customSheetView guid="{E6CA5BE8-E4DB-45B9-BD02-6D0572E660A3}" scale="70">
      <selection activeCell="E25" sqref="E25"/>
      <pageMargins left="0.7" right="0.7" top="0.75" bottom="0.75" header="0.3" footer="0.3"/>
      <pageSetup paperSize="9" orientation="portrait" r:id="rId2"/>
    </customSheetView>
  </customSheetViews>
  <mergeCells count="3">
    <mergeCell ref="B4:E4"/>
    <mergeCell ref="B14:E14"/>
    <mergeCell ref="B23:E23"/>
  </mergeCell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2"/>
  <sheetViews>
    <sheetView tabSelected="1" zoomScale="80" zoomScaleNormal="80" workbookViewId="0">
      <selection activeCell="N41" sqref="N41"/>
    </sheetView>
  </sheetViews>
  <sheetFormatPr defaultRowHeight="15" x14ac:dyDescent="0.25"/>
  <cols>
    <col min="1" max="1" width="20.140625" style="8" customWidth="1"/>
    <col min="2" max="2" width="15.5703125" style="8" customWidth="1"/>
    <col min="3" max="3" width="19.28515625" style="8" customWidth="1"/>
    <col min="4" max="4" width="19.28515625" style="8" hidden="1" customWidth="1"/>
    <col min="5" max="5" width="12" style="8" customWidth="1"/>
    <col min="6" max="7" width="14" style="8" customWidth="1"/>
    <col min="8" max="8" width="22.5703125" style="8" customWidth="1"/>
    <col min="9" max="9" width="19.140625" style="8" customWidth="1"/>
    <col min="10" max="10" width="16.7109375" style="8" customWidth="1"/>
    <col min="11" max="13" width="7.7109375" style="8" customWidth="1"/>
    <col min="14" max="14" width="19.28515625" style="8" customWidth="1"/>
    <col min="15" max="17" width="9.140625" style="8"/>
    <col min="18" max="18" width="15.28515625" style="8" customWidth="1"/>
    <col min="19" max="19" width="9.140625" style="8"/>
    <col min="20" max="20" width="16.7109375" style="8" hidden="1" customWidth="1"/>
    <col min="21" max="21" width="13.140625" style="8" hidden="1" customWidth="1"/>
    <col min="22" max="23" width="0" style="8" hidden="1" customWidth="1"/>
    <col min="24" max="16384" width="9.140625" style="8"/>
  </cols>
  <sheetData>
    <row r="3" spans="1:21" x14ac:dyDescent="0.25">
      <c r="K3" s="8" t="s">
        <v>511</v>
      </c>
      <c r="O3" s="135" t="s">
        <v>510</v>
      </c>
      <c r="P3" s="135"/>
      <c r="Q3" s="135"/>
      <c r="R3" s="135"/>
    </row>
    <row r="4" spans="1:21" ht="64.5" customHeight="1" x14ac:dyDescent="0.25">
      <c r="A4" s="40" t="s">
        <v>264</v>
      </c>
      <c r="B4" s="61" t="s">
        <v>480</v>
      </c>
      <c r="C4" s="40" t="s">
        <v>481</v>
      </c>
      <c r="D4" s="40" t="s">
        <v>489</v>
      </c>
      <c r="E4" s="40" t="s">
        <v>471</v>
      </c>
      <c r="F4" s="61" t="s">
        <v>490</v>
      </c>
      <c r="G4" s="56" t="s">
        <v>494</v>
      </c>
      <c r="H4" s="61" t="s">
        <v>491</v>
      </c>
      <c r="I4" s="40" t="s">
        <v>492</v>
      </c>
      <c r="J4" s="39" t="s">
        <v>493</v>
      </c>
      <c r="K4" s="72" t="s">
        <v>497</v>
      </c>
      <c r="L4" s="70" t="s">
        <v>498</v>
      </c>
      <c r="M4" s="70" t="s">
        <v>499</v>
      </c>
      <c r="N4" s="70" t="s">
        <v>507</v>
      </c>
      <c r="O4" s="72" t="s">
        <v>497</v>
      </c>
      <c r="P4" s="87" t="s">
        <v>498</v>
      </c>
      <c r="Q4" s="87" t="s">
        <v>499</v>
      </c>
      <c r="R4" s="87" t="s">
        <v>507</v>
      </c>
    </row>
    <row r="5" spans="1:21" ht="24.75" customHeight="1" x14ac:dyDescent="0.25">
      <c r="A5" s="74">
        <v>1</v>
      </c>
      <c r="B5" s="74">
        <v>2</v>
      </c>
      <c r="C5" s="74">
        <v>3</v>
      </c>
      <c r="D5" s="74"/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5">
        <v>9</v>
      </c>
      <c r="K5" s="74">
        <v>10</v>
      </c>
      <c r="L5" s="74">
        <v>11</v>
      </c>
      <c r="M5" s="74">
        <v>12</v>
      </c>
      <c r="N5" s="74">
        <v>13</v>
      </c>
      <c r="O5" s="74">
        <v>11</v>
      </c>
      <c r="P5" s="74">
        <v>12</v>
      </c>
      <c r="Q5" s="74">
        <v>13</v>
      </c>
      <c r="R5" s="74">
        <v>14</v>
      </c>
    </row>
    <row r="6" spans="1:21" x14ac:dyDescent="0.25">
      <c r="A6" s="57" t="s">
        <v>18</v>
      </c>
      <c r="B6" s="59">
        <f>(SUMIF('по детям'!$A$18:$A$223,'Свод по районам'!A6,'по детям'!$V$18:$V$223)+SUMIF(малокомпл!$A$14:$A$237,'Свод по районам'!A6,малокомпл!$S$14:$S$237)+SUMIF(вечерние!$A$16:$A$37,'Свод по районам'!A6,вечерние!$R$16:$R$37))*12*1.302</f>
        <v>228108.83760000003</v>
      </c>
      <c r="C6" s="59">
        <f>ROUND(B6*1.25,1)</f>
        <v>285136</v>
      </c>
      <c r="D6" s="59">
        <v>3323</v>
      </c>
      <c r="E6" s="39">
        <f>D6*1.5</f>
        <v>4984.5</v>
      </c>
      <c r="F6" s="59">
        <f>C6+E6</f>
        <v>290120.5</v>
      </c>
      <c r="G6" s="64">
        <f>(SUMIF('по детям'!$A$18:$A$223,'Свод по районам'!A6,'по детям'!$AN$18:$AN$223)+SUMIF(малокомпл!$A$14:$A$237,'Свод по районам'!A6,малокомпл!$AK$14:$AK$237)+SUMIF(вечерние!$A$16:$A$28,'Свод по районам'!A6,вечерние!$AG$16:$AG$28))/(COUNTIF('по детям'!$A$18:$A$223,'Свод по районам'!A6)+COUNTIF(малокомпл!$A$14:$A$237,'Свод по районам'!A6)+COUNTIF(вечерние!$A$16:$A$28,'Свод по районам'!A6))</f>
        <v>1.3223315990626403</v>
      </c>
      <c r="H6" s="59">
        <f>(SUMIF('по детям'!$A$18:$A$223,'Свод по районам'!A6,'по детям'!$W$18:$W$223)+SUMIF(малокомпл!$A$14:$A$237,'Свод по районам'!A6,малокомпл!$T$14:$T$237)+SUMIF(вечерние!$A$16:$A$37,'Свод по районам'!A6,вечерние!$S$16:$S$37))*12*1.302*1.25+E6</f>
        <v>205434.17126429692</v>
      </c>
      <c r="I6" s="59">
        <v>213046.50000000003</v>
      </c>
      <c r="J6" s="71">
        <f>H6-I6</f>
        <v>-7612.3287357031077</v>
      </c>
      <c r="K6" s="73">
        <v>-36</v>
      </c>
      <c r="L6" s="73">
        <v>-2</v>
      </c>
      <c r="M6" s="73">
        <v>11</v>
      </c>
      <c r="N6" s="59">
        <f>('Свод по районам'!K6*'по детям'!$K$10+L6*'по детям'!$K$11+M6*'по детям'!$K$12)*1.8*1.25*1.25/G6</f>
        <v>-519.67156005885306</v>
      </c>
      <c r="O6" s="73">
        <v>-22</v>
      </c>
      <c r="P6" s="73">
        <v>-25</v>
      </c>
      <c r="Q6" s="73">
        <v>9</v>
      </c>
      <c r="R6" s="59">
        <f>(O6*'по детям'!$K$10+P6*'по детям'!$K$11+Q6*'по детям'!$K$12)*1.8*1.25*1.25/G6/12*4</f>
        <v>-496.65114292477068</v>
      </c>
      <c r="T6" s="88">
        <f>ROUND(H6+N6+R6,1)</f>
        <v>204417.8</v>
      </c>
      <c r="U6" s="8">
        <f>ROUND(T6*0.95,1)</f>
        <v>194196.9</v>
      </c>
    </row>
    <row r="7" spans="1:21" x14ac:dyDescent="0.25">
      <c r="A7" s="57" t="s">
        <v>19</v>
      </c>
      <c r="B7" s="59">
        <f>(SUMIF('по детям'!$A$18:$A$223,'Свод по районам'!A7,'по детям'!$V$18:$V$223)+SUMIF(малокомпл!$A$14:$A$237,'Свод по районам'!A7,малокомпл!$S$14:$S$237)+SUMIF(вечерние!$A$16:$A$37,'Свод по районам'!A7,вечерние!$R$16:$R$37))*12*1.302</f>
        <v>82252.54800000001</v>
      </c>
      <c r="C7" s="59">
        <f t="shared" ref="C7:C28" si="0">ROUND(B7*1.25,1)</f>
        <v>102815.7</v>
      </c>
      <c r="D7" s="59">
        <v>998</v>
      </c>
      <c r="E7" s="39">
        <f t="shared" ref="E7:E28" si="1">D7*1.5</f>
        <v>1497</v>
      </c>
      <c r="F7" s="59">
        <f t="shared" ref="F7:F28" si="2">C7+E7</f>
        <v>104312.7</v>
      </c>
      <c r="G7" s="64">
        <f>(SUMIF('по детям'!$A$18:$A$223,'Свод по районам'!A7,'по детям'!$AN$18:$AN$223)+SUMIF(малокомпл!$A$14:$A$237,'Свод по районам'!A7,малокомпл!$AK$14:$AK$237)+SUMIF(вечерние!$A$16:$A$28,'Свод по районам'!A7,вечерние!$AG$16:$AG$28))/(COUNTIF('по детям'!$A$18:$A$223,'Свод по районам'!A7)+COUNTIF(малокомпл!$A$14:$A$237,'Свод по районам'!A7)+COUNTIF(вечерние!$A$16:$A$28,'Свод по районам'!A7))</f>
        <v>1.6565860580005747</v>
      </c>
      <c r="H7" s="59">
        <f>(SUMIF('по детям'!$A$18:$A$223,'Свод по районам'!A7,'по детям'!$W$18:$W$223)+SUMIF(малокомпл!$A$14:$A$237,'Свод по районам'!A7,малокомпл!$T$14:$T$237)+SUMIF(вечерние!$A$16:$A$37,'Свод по районам'!A7,вечерние!$S$16:$S$37))*12*1.302*1.25+E7</f>
        <v>68428.761038160112</v>
      </c>
      <c r="I7" s="59">
        <v>81362</v>
      </c>
      <c r="J7" s="71">
        <f t="shared" ref="J7:J28" si="3">H7-I7</f>
        <v>-12933.238961839888</v>
      </c>
      <c r="K7" s="73">
        <v>-7</v>
      </c>
      <c r="L7" s="73">
        <v>13</v>
      </c>
      <c r="M7" s="73">
        <v>-18</v>
      </c>
      <c r="N7" s="59">
        <f>('Свод по районам'!K7*'по детям'!$K$10+L7*'по детям'!$K$11+M7*'по детям'!$K$12)*2.2*1.25*1.25/G7</f>
        <v>-1116.294255326492</v>
      </c>
      <c r="O7" s="73">
        <v>10</v>
      </c>
      <c r="P7" s="73">
        <v>28</v>
      </c>
      <c r="Q7" s="73">
        <v>-10</v>
      </c>
      <c r="R7" s="59">
        <f>(O7*'по детям'!$K$10+P7*'по детям'!$K$11+Q7*'по детям'!$K$12)*2.2*1.25*1.25/G7/12*4</f>
        <v>360.22879530946346</v>
      </c>
      <c r="T7" s="88">
        <f>ROUND(H7+N7+R7,1)</f>
        <v>67672.7</v>
      </c>
      <c r="U7" s="8">
        <f t="shared" ref="U7:U28" si="4">ROUND(T7*0.95,1)</f>
        <v>64289.1</v>
      </c>
    </row>
    <row r="8" spans="1:21" x14ac:dyDescent="0.25">
      <c r="A8" s="57" t="s">
        <v>20</v>
      </c>
      <c r="B8" s="59">
        <f>(SUMIF('по детям'!$A$18:$A$223,'Свод по районам'!A8,'по детям'!$V$18:$V$223)+SUMIF(малокомпл!$A$14:$A$237,'Свод по районам'!A8,малокомпл!$S$14:$S$237)+SUMIF(вечерние!$A$16:$A$37,'Свод по районам'!A8,вечерние!$R$16:$R$37))*12*1.302</f>
        <v>182617.99919999996</v>
      </c>
      <c r="C8" s="59">
        <f t="shared" si="0"/>
        <v>228272.5</v>
      </c>
      <c r="D8" s="59">
        <v>2910</v>
      </c>
      <c r="E8" s="39">
        <f t="shared" si="1"/>
        <v>4365</v>
      </c>
      <c r="F8" s="59">
        <f t="shared" si="2"/>
        <v>232637.5</v>
      </c>
      <c r="G8" s="64">
        <f>(SUMIF('по детям'!$A$18:$A$223,'Свод по районам'!A8,'по детям'!$AN$18:$AN$223)+SUMIF(малокомпл!$A$14:$A$237,'Свод по районам'!A8,малокомпл!$AK$14:$AK$237)+SUMIF(вечерние!$A$16:$A$28,'Свод по районам'!A8,вечерние!$AG$16:$AG$28))/(COUNTIF('по детям'!$A$18:$A$223,'Свод по районам'!A8)+COUNTIF(малокомпл!$A$14:$A$237,'Свод по районам'!A8)+COUNTIF(вечерние!$A$16:$A$28,'Свод по районам'!A8))</f>
        <v>1.4355202218851693</v>
      </c>
      <c r="H8" s="59">
        <f>(SUMIF('по детям'!$A$18:$A$223,'Свод по районам'!A8,'по детям'!$W$18:$W$223)+SUMIF(малокомпл!$A$14:$A$237,'Свод по районам'!A8,малокомпл!$T$14:$T$237)+SUMIF(вечерние!$A$16:$A$37,'Свод по районам'!A8,вечерние!$S$16:$S$37))*12*1.302*1.25+E8</f>
        <v>160909.3254850728</v>
      </c>
      <c r="I8" s="59">
        <v>157111.00000000003</v>
      </c>
      <c r="J8" s="71">
        <f t="shared" si="3"/>
        <v>3798.3254850727681</v>
      </c>
      <c r="K8" s="73">
        <v>64</v>
      </c>
      <c r="L8" s="73">
        <v>18</v>
      </c>
      <c r="M8" s="73">
        <v>16</v>
      </c>
      <c r="N8" s="59">
        <f>('Свод по районам'!K8*'по детям'!$K$10+L8*'по детям'!$K$11+M8*'по детям'!$K$12)*1.5*1.25*1.25/G8</f>
        <v>3817.246383198868</v>
      </c>
      <c r="O8" s="73">
        <v>49</v>
      </c>
      <c r="P8" s="73">
        <v>-2</v>
      </c>
      <c r="Q8" s="73">
        <v>10</v>
      </c>
      <c r="R8" s="59">
        <f>(O8*'по детям'!$K$10+P8*'по детям'!$K$11+Q8*'по детям'!$K$12)*1.5*1.25*1.25/G8/12*4</f>
        <v>688.14883095322966</v>
      </c>
      <c r="T8" s="88">
        <f t="shared" ref="T8:T29" si="5">ROUND(H8+N8+R8,1)</f>
        <v>165414.70000000001</v>
      </c>
      <c r="U8" s="8">
        <f t="shared" si="4"/>
        <v>157144</v>
      </c>
    </row>
    <row r="9" spans="1:21" x14ac:dyDescent="0.25">
      <c r="A9" s="57" t="s">
        <v>21</v>
      </c>
      <c r="B9" s="59">
        <f>(SUMIF('по детям'!$A$18:$A$223,'Свод по районам'!A9,'по детям'!$V$18:$V$223)+SUMIF(малокомпл!$A$14:$A$237,'Свод по районам'!A9,малокомпл!$S$14:$S$237)+SUMIF(вечерние!$A$16:$A$37,'Свод по районам'!A9,вечерние!$R$16:$R$37))*12*1.302</f>
        <v>233528.80319999997</v>
      </c>
      <c r="C9" s="59">
        <f t="shared" si="0"/>
        <v>291911</v>
      </c>
      <c r="D9" s="59">
        <v>3516</v>
      </c>
      <c r="E9" s="39">
        <f t="shared" si="1"/>
        <v>5274</v>
      </c>
      <c r="F9" s="59">
        <f t="shared" si="2"/>
        <v>297185</v>
      </c>
      <c r="G9" s="64">
        <f>(SUMIF('по детям'!$A$18:$A$223,'Свод по районам'!A9,'по детям'!$AN$18:$AN$223)+SUMIF(малокомпл!$A$14:$A$237,'Свод по районам'!A9,малокомпл!$AK$14:$AK$237)+SUMIF(вечерние!$A$16:$A$28,'Свод по районам'!A9,вечерние!$AG$16:$AG$28))/(COUNTIF('по детям'!$A$18:$A$223,'Свод по районам'!A9)+COUNTIF(малокомпл!$A$14:$A$237,'Свод по районам'!A9)+COUNTIF(вечерние!$A$16:$A$28,'Свод по районам'!A9))</f>
        <v>1.4603359394739179</v>
      </c>
      <c r="H9" s="59">
        <f>(SUMIF('по детям'!$A$18:$A$223,'Свод по районам'!A9,'по детям'!$W$18:$W$223)+SUMIF(малокомпл!$A$14:$A$237,'Свод по районам'!A9,малокомпл!$T$14:$T$237)+SUMIF(вечерние!$A$16:$A$37,'Свод по районам'!A9,вечерние!$S$16:$S$37))*12*1.302*1.25+E9</f>
        <v>213758.63384643456</v>
      </c>
      <c r="I9" s="59">
        <v>217312.6</v>
      </c>
      <c r="J9" s="71">
        <f t="shared" si="3"/>
        <v>-3553.966153565445</v>
      </c>
      <c r="K9" s="73">
        <v>-83</v>
      </c>
      <c r="L9" s="73">
        <v>83</v>
      </c>
      <c r="M9" s="73">
        <v>27</v>
      </c>
      <c r="N9" s="59">
        <f>('Свод по районам'!K9*'по детям'!$K$10+L9*'по детям'!$K$11+M9*'по детям'!$K$12)*1.5*1.25*1.25/G9</f>
        <v>3039.2568021703955</v>
      </c>
      <c r="O9" s="73">
        <v>-110</v>
      </c>
      <c r="P9" s="73">
        <v>-4</v>
      </c>
      <c r="Q9" s="73">
        <v>-1</v>
      </c>
      <c r="R9" s="59">
        <f>(O9*'по детям'!$K$10+P9*'по детям'!$K$11+Q9*'по детям'!$K$12)*1.5*1.25*1.25/G9/12*4</f>
        <v>-1155.0050004984657</v>
      </c>
      <c r="T9" s="88">
        <f t="shared" si="5"/>
        <v>215642.9</v>
      </c>
      <c r="U9" s="8">
        <f t="shared" si="4"/>
        <v>204860.79999999999</v>
      </c>
    </row>
    <row r="10" spans="1:21" x14ac:dyDescent="0.25">
      <c r="A10" s="57" t="s">
        <v>22</v>
      </c>
      <c r="B10" s="59">
        <f>(SUMIF('по детям'!$A$18:$A$223,'Свод по районам'!A10,'по детям'!$V$18:$V$223)+SUMIF(малокомпл!$A$14:$A$237,'Свод по районам'!A10,малокомпл!$S$14:$S$237)+SUMIF(вечерние!$A$16:$A$37,'Свод по районам'!A10,вечерние!$R$16:$R$37))*12*1.302</f>
        <v>152802.72</v>
      </c>
      <c r="C10" s="59">
        <f t="shared" si="0"/>
        <v>191003.4</v>
      </c>
      <c r="D10" s="59">
        <v>2290</v>
      </c>
      <c r="E10" s="39">
        <f t="shared" si="1"/>
        <v>3435</v>
      </c>
      <c r="F10" s="59">
        <f t="shared" si="2"/>
        <v>194438.39999999999</v>
      </c>
      <c r="G10" s="64">
        <f>(SUMIF('по детям'!$A$18:$A$223,'Свод по районам'!A10,'по детям'!$AN$18:$AN$223)+SUMIF(малокомпл!$A$14:$A$237,'Свод по районам'!A10,малокомпл!$AK$14:$AK$237)+SUMIF(вечерние!$A$16:$A$28,'Свод по районам'!A10,вечерние!$AG$16:$AG$28))/(COUNTIF('по детям'!$A$18:$A$223,'Свод по районам'!A10)+COUNTIF(малокомпл!$A$14:$A$237,'Свод по районам'!A10)+COUNTIF(вечерние!$A$16:$A$28,'Свод по районам'!A10))</f>
        <v>1.7383167575214782</v>
      </c>
      <c r="H10" s="59">
        <f>(SUMIF('по детям'!$A$18:$A$223,'Свод по районам'!A10,'по детям'!$W$18:$W$223)+SUMIF(малокомпл!$A$14:$A$237,'Свод по районам'!A10,малокомпл!$T$14:$T$237)+SUMIF(вечерние!$A$16:$A$37,'Свод по районам'!A10,вечерние!$S$16:$S$37))*12*1.302*1.25+E10</f>
        <v>126008.40320949993</v>
      </c>
      <c r="I10" s="59">
        <v>132030.29999999999</v>
      </c>
      <c r="J10" s="71">
        <f t="shared" si="3"/>
        <v>-6021.8967905000609</v>
      </c>
      <c r="K10" s="73">
        <v>50</v>
      </c>
      <c r="L10" s="73">
        <v>41</v>
      </c>
      <c r="M10" s="73">
        <v>-31</v>
      </c>
      <c r="N10" s="59">
        <f>('Свод по районам'!K10*'по детям'!$K$10+L10*'по детям'!$K$11+M10*'по детям'!$K$12)*1.5*1.25*1.25/G10</f>
        <v>961.5713694109902</v>
      </c>
      <c r="O10" s="73">
        <v>32</v>
      </c>
      <c r="P10" s="73">
        <v>30</v>
      </c>
      <c r="Q10" s="73">
        <v>11</v>
      </c>
      <c r="R10" s="59">
        <f>(O10*'по детям'!$K$10+P10*'по детям'!$K$11+Q10*'по детям'!$K$12)*1.5*1.25*1.25/G10/12*4</f>
        <v>839.8345302622223</v>
      </c>
      <c r="T10" s="88">
        <f t="shared" si="5"/>
        <v>127809.8</v>
      </c>
      <c r="U10" s="8">
        <f t="shared" si="4"/>
        <v>121419.3</v>
      </c>
    </row>
    <row r="11" spans="1:21" x14ac:dyDescent="0.25">
      <c r="A11" s="57" t="s">
        <v>23</v>
      </c>
      <c r="B11" s="59">
        <f>(SUMIF('по детям'!$A$18:$A$223,'Свод по районам'!A11,'по детям'!$V$18:$V$223)+SUMIF(малокомпл!$A$14:$A$237,'Свод по районам'!A11,малокомпл!$S$14:$S$237)+SUMIF(вечерние!$A$16:$A$37,'Свод по районам'!A11,вечерние!$R$16:$R$37))*12*1.302</f>
        <v>319962.33360000001</v>
      </c>
      <c r="C11" s="59">
        <f t="shared" si="0"/>
        <v>399952.9</v>
      </c>
      <c r="D11" s="59">
        <v>6655</v>
      </c>
      <c r="E11" s="39">
        <f t="shared" si="1"/>
        <v>9982.5</v>
      </c>
      <c r="F11" s="59">
        <f t="shared" si="2"/>
        <v>409935.4</v>
      </c>
      <c r="G11" s="64">
        <f>(SUMIF('по детям'!$A$18:$A$223,'Свод по районам'!A11,'по детям'!$AN$18:$AN$223)+SUMIF(малокомпл!$A$14:$A$237,'Свод по районам'!A11,малокомпл!$AK$14:$AK$237)+SUMIF(вечерние!$A$16:$A$28,'Свод по районам'!A11,вечерние!$AG$16:$AG$28))/(COUNTIF('по детям'!$A$18:$A$223,'Свод по районам'!A11)+COUNTIF(малокомпл!$A$14:$A$237,'Свод по районам'!A11)+COUNTIF(вечерние!$A$16:$A$28,'Свод по районам'!A11))</f>
        <v>1.3302169816672833</v>
      </c>
      <c r="H11" s="59">
        <f>(SUMIF('по детям'!$A$18:$A$223,'Свод по районам'!A11,'по детям'!$W$18:$W$223)+SUMIF(малокомпл!$A$14:$A$237,'Свод по районам'!A11,малокомпл!$T$14:$T$237)+SUMIF(вечерние!$A$16:$A$37,'Свод по районам'!A11,вечерние!$S$16:$S$37))*12*1.302*1.25+E11</f>
        <v>319347.56564746762</v>
      </c>
      <c r="I11" s="59">
        <v>319103.50000000006</v>
      </c>
      <c r="J11" s="71">
        <f t="shared" si="3"/>
        <v>244.06564746756339</v>
      </c>
      <c r="K11" s="73">
        <v>67</v>
      </c>
      <c r="L11" s="73">
        <v>152</v>
      </c>
      <c r="M11" s="73">
        <v>-14</v>
      </c>
      <c r="N11" s="59">
        <f>('Свод по районам'!K11*'по детям'!$K$10+L11*'по детям'!$K$11+M11*'по детям'!$K$12)*1.5*1.25*1.25/G11</f>
        <v>8404.7084735656954</v>
      </c>
      <c r="O11" s="73">
        <v>130</v>
      </c>
      <c r="P11" s="73">
        <v>142</v>
      </c>
      <c r="Q11" s="73">
        <v>5</v>
      </c>
      <c r="R11" s="59">
        <f>(O11*'по детям'!$K$10+P11*'по детям'!$K$11+Q11*'по детям'!$K$12)*1.5*1.25*1.25/G11/12*4</f>
        <v>3790.7055818666668</v>
      </c>
      <c r="T11" s="88">
        <f t="shared" si="5"/>
        <v>331543</v>
      </c>
      <c r="U11" s="8">
        <f t="shared" si="4"/>
        <v>314965.90000000002</v>
      </c>
    </row>
    <row r="12" spans="1:21" x14ac:dyDescent="0.25">
      <c r="A12" s="57" t="s">
        <v>24</v>
      </c>
      <c r="B12" s="59">
        <f>(SUMIF('по детям'!$A$18:$A$223,'Свод по районам'!A12,'по детям'!$V$18:$V$223)+SUMIF(малокомпл!$A$14:$A$237,'Свод по районам'!A12,малокомпл!$S$14:$S$237)+SUMIF(вечерние!$A$16:$A$37,'Свод по районам'!A12,вечерние!$R$16:$R$37))*12*1.302</f>
        <v>260553.636</v>
      </c>
      <c r="C12" s="59">
        <f t="shared" si="0"/>
        <v>325692</v>
      </c>
      <c r="D12" s="59">
        <v>4035</v>
      </c>
      <c r="E12" s="39">
        <f t="shared" si="1"/>
        <v>6052.5</v>
      </c>
      <c r="F12" s="59">
        <f t="shared" si="2"/>
        <v>331744.5</v>
      </c>
      <c r="G12" s="64">
        <f>(SUMIF('по детям'!$A$18:$A$223,'Свод по районам'!A12,'по детям'!$AN$18:$AN$223)+SUMIF(малокомпл!$A$14:$A$237,'Свод по районам'!A12,малокомпл!$AK$14:$AK$237)+SUMIF(вечерние!$A$16:$A$28,'Свод по районам'!A12,вечерние!$AG$16:$AG$28))/(COUNTIF('по детям'!$A$18:$A$223,'Свод по районам'!A12)+COUNTIF(малокомпл!$A$14:$A$237,'Свод по районам'!A12)+COUNTIF(вечерние!$A$16:$A$28,'Свод по районам'!A12))</f>
        <v>1.6163696773289624</v>
      </c>
      <c r="H12" s="59">
        <f>(SUMIF('по детям'!$A$18:$A$223,'Свод по районам'!A12,'по детям'!$W$18:$W$223)+SUMIF(малокомпл!$A$14:$A$237,'Свод по районам'!A12,малокомпл!$T$14:$T$237)+SUMIF(вечерние!$A$16:$A$37,'Свод по районам'!A12,вечерние!$S$16:$S$37))*12*1.302*1.25+E12</f>
        <v>231181.76450374915</v>
      </c>
      <c r="I12" s="59">
        <v>226842.3</v>
      </c>
      <c r="J12" s="71">
        <f t="shared" si="3"/>
        <v>4339.4645037491573</v>
      </c>
      <c r="K12" s="73">
        <v>-47</v>
      </c>
      <c r="L12" s="73">
        <v>65</v>
      </c>
      <c r="M12" s="73">
        <v>-19</v>
      </c>
      <c r="N12" s="59">
        <f>('Свод по районам'!K12*'по детям'!$K$10+L12*'по детям'!$K$11+M12*'по детям'!$K$12)*1.5*1.25*1.25/G12</f>
        <v>154.52742092560698</v>
      </c>
      <c r="O12" s="73">
        <v>50</v>
      </c>
      <c r="P12" s="73">
        <v>15</v>
      </c>
      <c r="Q12" s="73">
        <v>-19</v>
      </c>
      <c r="R12" s="59">
        <f>(O12*'по детям'!$K$10+P12*'по детям'!$K$11+Q12*'по детям'!$K$12)*1.5*1.25*1.25/G12/12*4</f>
        <v>248.58948150029133</v>
      </c>
      <c r="T12" s="88">
        <f t="shared" si="5"/>
        <v>231584.9</v>
      </c>
      <c r="U12" s="8">
        <f t="shared" si="4"/>
        <v>220005.7</v>
      </c>
    </row>
    <row r="13" spans="1:21" x14ac:dyDescent="0.25">
      <c r="A13" s="57" t="s">
        <v>25</v>
      </c>
      <c r="B13" s="59">
        <f>(SUMIF('по детям'!$A$18:$A$223,'Свод по районам'!A13,'по детям'!$V$18:$V$223)+SUMIF(малокомпл!$A$14:$A$237,'Свод по районам'!A13,малокомпл!$S$14:$S$237)+SUMIF(вечерние!$A$16:$A$37,'Свод по районам'!A13,вечерние!$R$16:$R$37))*12*1.302</f>
        <v>361697.16239999997</v>
      </c>
      <c r="C13" s="59">
        <f t="shared" si="0"/>
        <v>452121.5</v>
      </c>
      <c r="D13" s="59">
        <v>7087</v>
      </c>
      <c r="E13" s="39">
        <f t="shared" si="1"/>
        <v>10630.5</v>
      </c>
      <c r="F13" s="59">
        <f t="shared" si="2"/>
        <v>462752</v>
      </c>
      <c r="G13" s="64">
        <f>(SUMIF('по детям'!$A$18:$A$223,'Свод по районам'!A13,'по детям'!$AN$18:$AN$223)+SUMIF(малокомпл!$A$14:$A$237,'Свод по районам'!A13,малокомпл!$AK$14:$AK$237)+SUMIF(вечерние!$A$16:$A$28,'Свод по районам'!A13,вечерние!$AG$16:$AG$28))/(COUNTIF('по детям'!$A$18:$A$223,'Свод по районам'!A13)+COUNTIF(малокомпл!$A$14:$A$237,'Свод по районам'!A13)+COUNTIF(вечерние!$A$16:$A$28,'Свод по районам'!A13))</f>
        <v>1.7836587027864101</v>
      </c>
      <c r="H13" s="59">
        <f>(SUMIF('по детям'!$A$18:$A$223,'Свод по районам'!A13,'по детям'!$W$18:$W$223)+SUMIF(малокомпл!$A$14:$A$237,'Свод по районам'!A13,малокомпл!$T$14:$T$237)+SUMIF(вечерние!$A$16:$A$37,'Свод по районам'!A13,вечерние!$S$16:$S$37))*12*1.302*1.25+E13</f>
        <v>311354.60258508165</v>
      </c>
      <c r="I13" s="59">
        <v>350917.1</v>
      </c>
      <c r="J13" s="71">
        <f t="shared" si="3"/>
        <v>-39562.497414918325</v>
      </c>
      <c r="K13" s="73">
        <v>185</v>
      </c>
      <c r="L13" s="73">
        <v>420</v>
      </c>
      <c r="M13" s="73">
        <v>18</v>
      </c>
      <c r="N13" s="59">
        <f>('Свод по районам'!K13*'по детям'!$K$10+L13*'по детям'!$K$11+M13*'по детям'!$K$12)*1.5*1.25*1.25/G13</f>
        <v>20479.819236401461</v>
      </c>
      <c r="O13" s="73">
        <v>382</v>
      </c>
      <c r="P13" s="73">
        <v>285</v>
      </c>
      <c r="Q13" s="73">
        <v>70</v>
      </c>
      <c r="R13" s="59">
        <f>(O13*'по детям'!$K$10+P13*'по детям'!$K$11+Q13*'по детям'!$K$12)*1.5*1.25*1.25/G13/12*4</f>
        <v>7757.3390530850274</v>
      </c>
      <c r="T13" s="88">
        <f t="shared" si="5"/>
        <v>339591.8</v>
      </c>
      <c r="U13" s="8">
        <f t="shared" si="4"/>
        <v>322612.2</v>
      </c>
    </row>
    <row r="14" spans="1:21" x14ac:dyDescent="0.25">
      <c r="A14" s="57" t="s">
        <v>26</v>
      </c>
      <c r="B14" s="59">
        <f>(SUMIF('по детям'!$A$18:$A$223,'Свод по районам'!A14,'по детям'!$V$18:$V$223)+SUMIF(малокомпл!$A$14:$A$237,'Свод по районам'!A14,малокомпл!$S$14:$S$237)+SUMIF(вечерние!$A$16:$A$37,'Свод по районам'!A14,вечерние!$R$16:$R$37))*12*1.302</f>
        <v>358466.11919999996</v>
      </c>
      <c r="C14" s="59">
        <f t="shared" si="0"/>
        <v>448082.6</v>
      </c>
      <c r="D14" s="59">
        <v>7270</v>
      </c>
      <c r="E14" s="39">
        <f t="shared" si="1"/>
        <v>10905</v>
      </c>
      <c r="F14" s="59">
        <f t="shared" si="2"/>
        <v>458987.6</v>
      </c>
      <c r="G14" s="64">
        <f>(SUMIF('по детям'!$A$18:$A$223,'Свод по районам'!A14,'по детям'!$AN$18:$AN$223)+SUMIF(малокомпл!$A$14:$A$237,'Свод по районам'!A14,малокомпл!$AK$14:$AK$237)+SUMIF(вечерние!$A$16:$A$28,'Свод по районам'!A14,вечерние!$AG$16:$AG$28))/(COUNTIF('по детям'!$A$18:$A$223,'Свод по районам'!A14)+COUNTIF(малокомпл!$A$14:$A$237,'Свод по районам'!A14)+COUNTIF(вечерние!$A$16:$A$28,'Свод по районам'!A14))</f>
        <v>1.4680097151522031</v>
      </c>
      <c r="H14" s="59">
        <f>(SUMIF('по детям'!$A$18:$A$223,'Свод по районам'!A14,'по детям'!$W$18:$W$223)+SUMIF(малокомпл!$A$14:$A$237,'Свод по районам'!A14,малокомпл!$T$14:$T$237)+SUMIF(вечерние!$A$16:$A$37,'Свод по районам'!A14,вечерние!$S$16:$S$37))*12*1.302*1.25+E14</f>
        <v>338453.79198456887</v>
      </c>
      <c r="I14" s="59">
        <v>330712.89999999997</v>
      </c>
      <c r="J14" s="71">
        <f t="shared" si="3"/>
        <v>7740.8919845689088</v>
      </c>
      <c r="K14" s="73">
        <v>-144</v>
      </c>
      <c r="L14" s="73">
        <v>154</v>
      </c>
      <c r="M14" s="73">
        <v>-13</v>
      </c>
      <c r="N14" s="59">
        <f>('Свод по районам'!K14*'по детям'!$K$10+L14*'по детям'!$K$11+M14*'по детям'!$K$12)*1.5*1.25*1.25/G14</f>
        <v>1622.7168239503221</v>
      </c>
      <c r="O14" s="73">
        <v>-109</v>
      </c>
      <c r="P14" s="73">
        <v>107</v>
      </c>
      <c r="Q14" s="73">
        <v>16</v>
      </c>
      <c r="R14" s="59">
        <f>(O14*'по детям'!$K$10+P14*'по детям'!$K$11+Q14*'по детям'!$K$12)*1.5*1.25*1.25/G14/12*4</f>
        <v>854.6967448849017</v>
      </c>
      <c r="T14" s="88">
        <f t="shared" si="5"/>
        <v>340931.2</v>
      </c>
      <c r="U14" s="8">
        <f t="shared" si="4"/>
        <v>323884.59999999998</v>
      </c>
    </row>
    <row r="15" spans="1:21" x14ac:dyDescent="0.25">
      <c r="A15" s="57" t="s">
        <v>27</v>
      </c>
      <c r="B15" s="59">
        <f>(SUMIF('по детям'!$A$18:$A$223,'Свод по районам'!A15,'по детям'!$V$18:$V$223)+SUMIF(малокомпл!$A$14:$A$237,'Свод по районам'!A15,малокомпл!$S$14:$S$237)+SUMIF(вечерние!$A$16:$A$37,'Свод по районам'!A15,вечерние!$R$16:$R$37))*12*1.302</f>
        <v>148356.12960000001</v>
      </c>
      <c r="C15" s="59">
        <f t="shared" si="0"/>
        <v>185445.2</v>
      </c>
      <c r="D15" s="59">
        <v>2194</v>
      </c>
      <c r="E15" s="39">
        <f t="shared" si="1"/>
        <v>3291</v>
      </c>
      <c r="F15" s="59">
        <f t="shared" si="2"/>
        <v>188736.2</v>
      </c>
      <c r="G15" s="64">
        <f>(SUMIF('по детям'!$A$18:$A$223,'Свод по районам'!A15,'по детям'!$AN$18:$AN$223)+SUMIF(малокомпл!$A$14:$A$237,'Свод по районам'!A15,малокомпл!$AK$14:$AK$237)+SUMIF(вечерние!$A$16:$A$28,'Свод по районам'!A15,вечерние!$AG$16:$AG$28))/(COUNTIF('по детям'!$A$18:$A$223,'Свод по районам'!A15)+COUNTIF(малокомпл!$A$14:$A$237,'Свод по районам'!A15)+COUNTIF(вечерние!$A$16:$A$28,'Свод по районам'!A15))</f>
        <v>1.3307859775790485</v>
      </c>
      <c r="H15" s="59">
        <f>(SUMIF('по детям'!$A$18:$A$223,'Свод по районам'!A15,'по детям'!$W$18:$W$223)+SUMIF(малокомпл!$A$14:$A$237,'Свод по районам'!A15,малокомпл!$T$14:$T$237)+SUMIF(вечерние!$A$16:$A$37,'Свод по районам'!A15,вечерние!$S$16:$S$37))*12*1.302*1.25+E15</f>
        <v>152853.87916540483</v>
      </c>
      <c r="I15" s="59">
        <v>133525.1</v>
      </c>
      <c r="J15" s="71">
        <f t="shared" si="3"/>
        <v>19328.77916540482</v>
      </c>
      <c r="K15" s="73">
        <v>-1</v>
      </c>
      <c r="L15" s="73">
        <v>32</v>
      </c>
      <c r="M15" s="73">
        <v>-37</v>
      </c>
      <c r="N15" s="59">
        <f>('Свод по районам'!K15*'по детям'!$K$10+L15*'по детям'!$K$11+M15*'по детям'!$K$12)*1.5*1.25*1.25/G15</f>
        <v>-1263.8912479825037</v>
      </c>
      <c r="O15" s="73">
        <v>-20</v>
      </c>
      <c r="P15" s="73">
        <v>18</v>
      </c>
      <c r="Q15" s="73">
        <v>8</v>
      </c>
      <c r="R15" s="59">
        <f>(O15*'по детям'!$K$10+P15*'по детям'!$K$11+Q15*'по детям'!$K$12)*1.5*1.25*1.25/G15/12*4</f>
        <v>273.13511047151763</v>
      </c>
      <c r="T15" s="88">
        <f t="shared" si="5"/>
        <v>151863.1</v>
      </c>
      <c r="U15" s="8">
        <f t="shared" si="4"/>
        <v>144269.9</v>
      </c>
    </row>
    <row r="16" spans="1:21" x14ac:dyDescent="0.25">
      <c r="A16" s="57" t="s">
        <v>28</v>
      </c>
      <c r="B16" s="59">
        <f>(SUMIF('по детям'!$A$18:$A$223,'Свод по районам'!A16,'по детям'!$V$18:$V$223)+SUMIF(малокомпл!$A$14:$A$237,'Свод по районам'!A16,малокомпл!$S$14:$S$237)+SUMIF(вечерние!$A$16:$A$37,'Свод по районам'!A16,вечерние!$R$16:$R$37))*12*1.302</f>
        <v>152405.87040000004</v>
      </c>
      <c r="C16" s="59">
        <f t="shared" si="0"/>
        <v>190507.3</v>
      </c>
      <c r="D16" s="59">
        <v>1965</v>
      </c>
      <c r="E16" s="39">
        <f t="shared" si="1"/>
        <v>2947.5</v>
      </c>
      <c r="F16" s="59">
        <f t="shared" si="2"/>
        <v>193454.8</v>
      </c>
      <c r="G16" s="64">
        <f>(SUMIF('по детям'!$A$18:$A$223,'Свод по районам'!A16,'по детям'!$AN$18:$AN$223)+SUMIF(малокомпл!$A$14:$A$237,'Свод по районам'!A16,малокомпл!$AK$14:$AK$237)+SUMIF(вечерние!$A$16:$A$28,'Свод по районам'!A16,вечерние!$AG$16:$AG$28))/(COUNTIF('по детям'!$A$18:$A$223,'Свод по районам'!A16)+COUNTIF(малокомпл!$A$14:$A$237,'Свод по районам'!A16)+COUNTIF(вечерние!$A$16:$A$28,'Свод по районам'!A16))</f>
        <v>1.65110517196562</v>
      </c>
      <c r="H16" s="59">
        <f>(SUMIF('по детям'!$A$18:$A$223,'Свод по районам'!A16,'по детям'!$W$18:$W$223)+SUMIF(малокомпл!$A$14:$A$237,'Свод по районам'!A16,малокомпл!$T$14:$T$237)+SUMIF(вечерние!$A$16:$A$37,'Свод по районам'!A16,вечерние!$S$16:$S$37))*12*1.302*1.25+E16</f>
        <v>142095.1454581827</v>
      </c>
      <c r="I16" s="59">
        <v>142664.69999999998</v>
      </c>
      <c r="J16" s="71">
        <f t="shared" si="3"/>
        <v>-569.55454181728419</v>
      </c>
      <c r="K16" s="73">
        <v>-22</v>
      </c>
      <c r="L16" s="73">
        <v>65</v>
      </c>
      <c r="M16" s="73">
        <v>-34</v>
      </c>
      <c r="N16" s="59">
        <f>('Свод по районам'!K16*'по детям'!$K$10+L16*'по детям'!$K$11+M16*'по детям'!$K$12)*1.8*1.25*1.25/G16</f>
        <v>-126.44371693867312</v>
      </c>
      <c r="O16" s="73">
        <v>-14</v>
      </c>
      <c r="P16" s="73">
        <v>2</v>
      </c>
      <c r="Q16" s="73">
        <v>11</v>
      </c>
      <c r="R16" s="59">
        <f>(O16*'по детям'!$K$10+P16*'по детям'!$K$11+Q16*'по детям'!$K$12)*1.8*1.25*1.25/G16/12*4</f>
        <v>151.13172633511434</v>
      </c>
      <c r="T16" s="88">
        <f t="shared" si="5"/>
        <v>142119.79999999999</v>
      </c>
      <c r="U16" s="8">
        <f t="shared" si="4"/>
        <v>135013.79999999999</v>
      </c>
    </row>
    <row r="17" spans="1:22" x14ac:dyDescent="0.25">
      <c r="A17" s="57" t="s">
        <v>29</v>
      </c>
      <c r="B17" s="59">
        <f>(SUMIF('по детям'!$A$18:$A$223,'Свод по районам'!A17,'по детям'!$V$18:$V$223)+SUMIF(малокомпл!$A$14:$A$237,'Свод по районам'!A17,малокомпл!$S$14:$S$237)+SUMIF(вечерние!$A$16:$A$37,'Свод по районам'!A17,вечерние!$R$16:$R$37))*12*1.302</f>
        <v>271646.67600000004</v>
      </c>
      <c r="C17" s="59">
        <f t="shared" si="0"/>
        <v>339558.3</v>
      </c>
      <c r="D17" s="59">
        <v>5237</v>
      </c>
      <c r="E17" s="39">
        <f t="shared" si="1"/>
        <v>7855.5</v>
      </c>
      <c r="F17" s="59">
        <f t="shared" si="2"/>
        <v>347413.8</v>
      </c>
      <c r="G17" s="64">
        <f>(SUMIF('по детям'!$A$18:$A$223,'Свод по районам'!A17,'по детям'!$AN$18:$AN$223)+SUMIF(малокомпл!$A$14:$A$237,'Свод по районам'!A17,малокомпл!$AK$14:$AK$237)+SUMIF(вечерние!$A$16:$A$28,'Свод по районам'!A17,вечерние!$AG$16:$AG$28))/(COUNTIF('по детям'!$A$18:$A$223,'Свод по районам'!A17)+COUNTIF(малокомпл!$A$14:$A$237,'Свод по районам'!A17)+COUNTIF(вечерние!$A$16:$A$28,'Свод по районам'!A17))</f>
        <v>1.5018371918905604</v>
      </c>
      <c r="H17" s="59">
        <f>(SUMIF('по детям'!$A$18:$A$223,'Свод по районам'!A17,'по детям'!$W$18:$W$223)+SUMIF(малокомпл!$A$14:$A$237,'Свод по районам'!A17,малокомпл!$T$14:$T$237)+SUMIF(вечерние!$A$16:$A$37,'Свод по районам'!A17,вечерние!$S$16:$S$37))*12*1.302*1.25+E17</f>
        <v>255056.02391244977</v>
      </c>
      <c r="I17" s="59">
        <v>252639.4</v>
      </c>
      <c r="J17" s="71">
        <f t="shared" si="3"/>
        <v>2416.6239124497806</v>
      </c>
      <c r="K17" s="73">
        <v>-92</v>
      </c>
      <c r="L17" s="73">
        <v>107</v>
      </c>
      <c r="M17" s="73">
        <v>14</v>
      </c>
      <c r="N17" s="59">
        <f>('Свод по районам'!K17*'по детям'!$K$10+L17*'по детям'!$K$11+M17*'по детям'!$K$12)*1.5*1.25*1.25/G17</f>
        <v>2857.9527199595236</v>
      </c>
      <c r="O17" s="73">
        <v>-120</v>
      </c>
      <c r="P17" s="73">
        <v>139</v>
      </c>
      <c r="Q17" s="73">
        <v>3</v>
      </c>
      <c r="R17" s="59">
        <f>(O17*'по детям'!$K$10+P17*'по детям'!$K$11+Q17*'по детям'!$K$12)*1.5*1.25*1.25/G17/12*4</f>
        <v>897.42167611615093</v>
      </c>
      <c r="T17" s="88">
        <f t="shared" si="5"/>
        <v>258811.4</v>
      </c>
      <c r="U17" s="8">
        <f t="shared" si="4"/>
        <v>245870.8</v>
      </c>
    </row>
    <row r="18" spans="1:22" x14ac:dyDescent="0.25">
      <c r="A18" s="57" t="s">
        <v>30</v>
      </c>
      <c r="B18" s="59">
        <f>(SUMIF('по детям'!$A$18:$A$223,'Свод по районам'!A18,'по детям'!$V$18:$V$223)+SUMIF(малокомпл!$A$14:$A$237,'Свод по районам'!A18,малокомпл!$S$14:$S$237)+SUMIF(вечерние!$A$16:$A$37,'Свод по районам'!A18,вечерние!$R$16:$R$37))*12*1.302</f>
        <v>99379.57680000001</v>
      </c>
      <c r="C18" s="59">
        <f t="shared" si="0"/>
        <v>124224.5</v>
      </c>
      <c r="D18" s="59">
        <v>1465</v>
      </c>
      <c r="E18" s="39">
        <f t="shared" si="1"/>
        <v>2197.5</v>
      </c>
      <c r="F18" s="59">
        <f t="shared" si="2"/>
        <v>126422</v>
      </c>
      <c r="G18" s="64">
        <f>(SUMIF('по детям'!$A$18:$A$223,'Свод по районам'!A18,'по детям'!$AN$18:$AN$223)+SUMIF(малокомпл!$A$14:$A$237,'Свод по районам'!A18,малокомпл!$AK$14:$AK$237)+SUMIF(вечерние!$A$16:$A$28,'Свод по районам'!A18,вечерние!$AG$16:$AG$28))/(COUNTIF('по детям'!$A$18:$A$223,'Свод по районам'!A18)+COUNTIF(малокомпл!$A$14:$A$237,'Свод по районам'!A18)+COUNTIF(вечерние!$A$16:$A$28,'Свод по районам'!A18))</f>
        <v>1.5715497256850639</v>
      </c>
      <c r="H18" s="59">
        <f>(SUMIF('по детям'!$A$18:$A$223,'Свод по районам'!A18,'по детям'!$W$18:$W$223)+SUMIF(малокомпл!$A$14:$A$237,'Свод по районам'!A18,малокомпл!$T$14:$T$237)+SUMIF(вечерние!$A$16:$A$37,'Свод по районам'!A18,вечерние!$S$16:$S$37))*12*1.302*1.25+E18</f>
        <v>79966.95169753849</v>
      </c>
      <c r="I18" s="59">
        <v>93347.599999999991</v>
      </c>
      <c r="J18" s="71">
        <f t="shared" si="3"/>
        <v>-13380.648302461501</v>
      </c>
      <c r="K18" s="73">
        <v>-8</v>
      </c>
      <c r="L18" s="73">
        <v>-11</v>
      </c>
      <c r="M18" s="73">
        <v>-2</v>
      </c>
      <c r="N18" s="59">
        <f>('Свод по районам'!K18*'по детям'!$K$10+L18*'по детям'!$K$11+M18*'по детям'!$K$12)*2.2*1.25*1.25/G18</f>
        <v>-1160.7948798468858</v>
      </c>
      <c r="O18" s="73">
        <v>-26</v>
      </c>
      <c r="P18" s="73">
        <v>14</v>
      </c>
      <c r="Q18" s="73">
        <v>0</v>
      </c>
      <c r="R18" s="59">
        <f>(O18*'по детям'!$K$10+P18*'по детям'!$K$11+Q18*'по детям'!$K$12)*2.2*1.25*1.25/G18/12*4</f>
        <v>-67.807272183861514</v>
      </c>
      <c r="T18" s="88">
        <f t="shared" si="5"/>
        <v>78738.3</v>
      </c>
      <c r="U18" s="8">
        <f t="shared" si="4"/>
        <v>74801.399999999994</v>
      </c>
    </row>
    <row r="19" spans="1:22" x14ac:dyDescent="0.25">
      <c r="A19" s="57" t="s">
        <v>31</v>
      </c>
      <c r="B19" s="59">
        <f>(SUMIF('по детям'!$A$18:$A$223,'Свод по районам'!A19,'по детям'!$V$18:$V$223)+SUMIF(малокомпл!$A$14:$A$237,'Свод по районам'!A19,малокомпл!$S$14:$S$237)+SUMIF(вечерние!$A$16:$A$37,'Свод по районам'!A19,вечерние!$R$16:$R$37))*12*1.302</f>
        <v>201918.32639999999</v>
      </c>
      <c r="C19" s="59">
        <f t="shared" si="0"/>
        <v>252397.9</v>
      </c>
      <c r="D19" s="59">
        <v>3263</v>
      </c>
      <c r="E19" s="39">
        <f t="shared" si="1"/>
        <v>4894.5</v>
      </c>
      <c r="F19" s="59">
        <f t="shared" si="2"/>
        <v>257292.4</v>
      </c>
      <c r="G19" s="64">
        <f>(SUMIF('по детям'!$A$18:$A$223,'Свод по районам'!A19,'по детям'!$AN$18:$AN$223)+SUMIF(малокомпл!$A$14:$A$237,'Свод по районам'!A19,малокомпл!$AK$14:$AK$237)+SUMIF(вечерние!$A$16:$A$28,'Свод по районам'!A19,вечерние!$AG$16:$AG$28))/(COUNTIF('по детям'!$A$18:$A$223,'Свод по районам'!A19)+COUNTIF(малокомпл!$A$14:$A$237,'Свод по районам'!A19)+COUNTIF(вечерние!$A$16:$A$28,'Свод по районам'!A19))</f>
        <v>1.4181765086020945</v>
      </c>
      <c r="H19" s="59">
        <f>(SUMIF('по детям'!$A$18:$A$223,'Свод по районам'!A19,'по детям'!$W$18:$W$223)+SUMIF(малокомпл!$A$14:$A$237,'Свод по районам'!A19,малокомпл!$T$14:$T$237)+SUMIF(вечерние!$A$16:$A$37,'Свод по районам'!A19,вечерние!$S$16:$S$37))*12*1.302*1.25+E19</f>
        <v>188951.88909471419</v>
      </c>
      <c r="I19" s="59">
        <v>191965.30000000002</v>
      </c>
      <c r="J19" s="71">
        <f t="shared" si="3"/>
        <v>-3013.4109052858257</v>
      </c>
      <c r="K19" s="73">
        <v>97</v>
      </c>
      <c r="L19" s="73">
        <v>65</v>
      </c>
      <c r="M19" s="73">
        <v>-44</v>
      </c>
      <c r="N19" s="59">
        <f>('Свод по районам'!K19*'по детям'!$K$10+L19*'по детям'!$K$11+M19*'по детям'!$K$12)*1.5*1.25*1.25/G19</f>
        <v>2764.5866725465867</v>
      </c>
      <c r="O19" s="73">
        <v>103</v>
      </c>
      <c r="P19" s="73">
        <v>43</v>
      </c>
      <c r="Q19" s="73">
        <v>8</v>
      </c>
      <c r="R19" s="59">
        <f>(O19*'по детям'!$K$10+P19*'по детям'!$K$11+Q19*'по детям'!$K$12)*1.5*1.25*1.25/G19/12*4</f>
        <v>1868.1890857235758</v>
      </c>
      <c r="T19" s="88">
        <f t="shared" si="5"/>
        <v>193584.7</v>
      </c>
      <c r="U19" s="8">
        <f t="shared" si="4"/>
        <v>183905.5</v>
      </c>
    </row>
    <row r="20" spans="1:22" x14ac:dyDescent="0.25">
      <c r="A20" s="57" t="s">
        <v>32</v>
      </c>
      <c r="B20" s="59">
        <f>(SUMIF('по детям'!$A$18:$A$223,'Свод по районам'!A20,'по детям'!$V$18:$V$223)+SUMIF(малокомпл!$A$14:$A$237,'Свод по районам'!A20,малокомпл!$S$14:$S$237)+SUMIF(вечерние!$A$16:$A$37,'Свод по районам'!A20,вечерние!$R$16:$R$37))*12*1.302</f>
        <v>47370.405599999998</v>
      </c>
      <c r="C20" s="59">
        <f t="shared" si="0"/>
        <v>59213</v>
      </c>
      <c r="D20" s="59">
        <v>653</v>
      </c>
      <c r="E20" s="39">
        <f t="shared" si="1"/>
        <v>979.5</v>
      </c>
      <c r="F20" s="59">
        <f t="shared" si="2"/>
        <v>60192.5</v>
      </c>
      <c r="G20" s="64">
        <f>(SUMIF('по детям'!$A$18:$A$223,'Свод по районам'!A20,'по детям'!$AN$18:$AN$223)+SUMIF(малокомпл!$A$14:$A$237,'Свод по районам'!A20,малокомпл!$AK$14:$AK$237)+SUMIF(вечерние!$A$16:$A$28,'Свод по районам'!A20,вечерние!$AG$16:$AG$28))/(COUNTIF('по детям'!$A$18:$A$223,'Свод по районам'!A20)+COUNTIF(малокомпл!$A$14:$A$237,'Свод по районам'!A20)+COUNTIF(вечерние!$A$16:$A$28,'Свод по районам'!A20))</f>
        <v>1.6117283950617285</v>
      </c>
      <c r="H20" s="59">
        <f>(SUMIF('по детям'!$A$18:$A$223,'Свод по районам'!A20,'по детям'!$W$18:$W$223)+SUMIF(малокомпл!$A$14:$A$237,'Свод по районам'!A20,малокомпл!$T$14:$T$237)+SUMIF(вечерние!$A$16:$A$37,'Свод по районам'!A20,вечерние!$S$16:$S$37))*12*1.302*1.25+E20</f>
        <v>44476.448815098265</v>
      </c>
      <c r="I20" s="59">
        <v>56454.799999999988</v>
      </c>
      <c r="J20" s="71">
        <f t="shared" si="3"/>
        <v>-11978.351184901723</v>
      </c>
      <c r="K20" s="73">
        <v>-22</v>
      </c>
      <c r="L20" s="73">
        <v>2</v>
      </c>
      <c r="M20" s="73">
        <v>-19</v>
      </c>
      <c r="N20" s="59">
        <f>('Свод по районам'!K20*'по детям'!$K$10+L20*'по детям'!$K$11+M20*'по детям'!$K$12)*1.8*1.25*1.25/G20</f>
        <v>-2013.6321572194556</v>
      </c>
      <c r="O20" s="73">
        <v>3</v>
      </c>
      <c r="P20" s="73">
        <v>-1</v>
      </c>
      <c r="Q20" s="73">
        <v>-14</v>
      </c>
      <c r="R20" s="59">
        <f>(O20*'по детям'!$K$10+P20*'по детям'!$K$11+Q20*'по детям'!$K$12)*1.8*1.25*1.25/G20/12*4</f>
        <v>-329.8555151283033</v>
      </c>
      <c r="T20" s="88">
        <f t="shared" si="5"/>
        <v>42133</v>
      </c>
      <c r="U20" s="8">
        <f t="shared" si="4"/>
        <v>40026.400000000001</v>
      </c>
    </row>
    <row r="21" spans="1:22" x14ac:dyDescent="0.25">
      <c r="A21" s="57" t="s">
        <v>33</v>
      </c>
      <c r="B21" s="59">
        <f>(SUMIF('по детям'!$A$18:$A$223,'Свод по районам'!A21,'по детям'!$V$18:$V$223)+SUMIF(малокомпл!$A$14:$A$237,'Свод по районам'!A21,малокомпл!$S$14:$S$237)+SUMIF(вечерние!$A$16:$A$37,'Свод по районам'!A21,вечерние!$R$16:$R$37))*12*1.302</f>
        <v>222426.38879999996</v>
      </c>
      <c r="C21" s="59">
        <f t="shared" si="0"/>
        <v>278033</v>
      </c>
      <c r="D21" s="59">
        <v>4220</v>
      </c>
      <c r="E21" s="39">
        <f t="shared" si="1"/>
        <v>6330</v>
      </c>
      <c r="F21" s="59">
        <f t="shared" si="2"/>
        <v>284363</v>
      </c>
      <c r="G21" s="64">
        <f>(SUMIF('по детям'!$A$18:$A$223,'Свод по районам'!A21,'по детям'!$AN$18:$AN$223)+SUMIF(малокомпл!$A$14:$A$237,'Свод по районам'!A21,малокомпл!$AK$14:$AK$237)+SUMIF(вечерние!$A$16:$A$28,'Свод по районам'!A21,вечерние!$AG$16:$AG$28))/(COUNTIF('по детям'!$A$18:$A$223,'Свод по районам'!A21)+COUNTIF(малокомпл!$A$14:$A$237,'Свод по районам'!A21)+COUNTIF(вечерние!$A$16:$A$28,'Свод по районам'!A21))</f>
        <v>1.519849143706421</v>
      </c>
      <c r="H21" s="59">
        <f>(SUMIF('по детям'!$A$18:$A$223,'Свод по районам'!A21,'по детям'!$W$18:$W$223)+SUMIF(малокомпл!$A$14:$A$237,'Свод по районам'!A21,малокомпл!$T$14:$T$237)+SUMIF(вечерние!$A$16:$A$37,'Свод по районам'!A21,вечерние!$S$16:$S$37))*12*1.302*1.25+E21</f>
        <v>209107.89305462645</v>
      </c>
      <c r="I21" s="59">
        <v>206474.40000000002</v>
      </c>
      <c r="J21" s="71">
        <f t="shared" si="3"/>
        <v>2633.4930546264222</v>
      </c>
      <c r="K21" s="73">
        <v>20</v>
      </c>
      <c r="L21" s="73">
        <v>171</v>
      </c>
      <c r="M21" s="73">
        <v>9</v>
      </c>
      <c r="N21" s="59">
        <f>('Свод по районам'!K21*'по детям'!$K$10+L21*'по детям'!$K$11+M21*'по детям'!$K$12)*1.5*1.25*1.25/G21</f>
        <v>8338.0705430379749</v>
      </c>
      <c r="O21" s="73">
        <v>11</v>
      </c>
      <c r="P21" s="73">
        <v>168</v>
      </c>
      <c r="Q21" s="73">
        <v>21</v>
      </c>
      <c r="R21" s="59">
        <f>(O21*'по детям'!$K$10+P21*'по детям'!$K$11+Q21*'по детям'!$K$12)*1.5*1.25*1.25/G21/12*4</f>
        <v>2914.8760542090658</v>
      </c>
      <c r="T21" s="88">
        <f t="shared" si="5"/>
        <v>220360.8</v>
      </c>
      <c r="U21" s="8">
        <f t="shared" si="4"/>
        <v>209342.8</v>
      </c>
    </row>
    <row r="22" spans="1:22" x14ac:dyDescent="0.25">
      <c r="A22" s="57" t="s">
        <v>34</v>
      </c>
      <c r="B22" s="59">
        <f>(SUMIF('по детям'!$A$18:$A$223,'Свод по районам'!A22,'по детям'!$V$18:$V$223)+SUMIF(малокомпл!$A$14:$A$237,'Свод по районам'!A22,малокомпл!$S$14:$S$237)+SUMIF(вечерние!$A$16:$A$37,'Свод по районам'!A22,вечерние!$R$16:$R$37))*12*1.302</f>
        <v>123604.5888</v>
      </c>
      <c r="C22" s="59">
        <f t="shared" si="0"/>
        <v>154505.70000000001</v>
      </c>
      <c r="D22" s="59">
        <v>1548</v>
      </c>
      <c r="E22" s="39">
        <f t="shared" si="1"/>
        <v>2322</v>
      </c>
      <c r="F22" s="59">
        <f t="shared" si="2"/>
        <v>156827.70000000001</v>
      </c>
      <c r="G22" s="64">
        <f>(SUMIF('по детям'!$A$18:$A$223,'Свод по районам'!A22,'по детям'!$AN$18:$AN$223)+SUMIF(малокомпл!$A$14:$A$237,'Свод по районам'!A22,малокомпл!$AK$14:$AK$237)+SUMIF(вечерние!$A$16:$A$28,'Свод по районам'!A22,вечерние!$AG$16:$AG$28))/(COUNTIF('по детям'!$A$18:$A$223,'Свод по районам'!A22)+COUNTIF(малокомпл!$A$14:$A$237,'Свод по районам'!A22)+COUNTIF(вечерние!$A$16:$A$28,'Свод по районам'!A22))</f>
        <v>1.634801953748239</v>
      </c>
      <c r="H22" s="59">
        <f>(SUMIF('по детям'!$A$18:$A$223,'Свод по районам'!A22,'по детям'!$W$18:$W$223)+SUMIF(малокомпл!$A$14:$A$237,'Свод по районам'!A22,малокомпл!$T$14:$T$237)+SUMIF(вечерние!$A$16:$A$37,'Свод по районам'!A22,вечерние!$S$16:$S$37))*12*1.302*1.25+E22</f>
        <v>105357.24106031546</v>
      </c>
      <c r="I22" s="59">
        <v>119262.99999999999</v>
      </c>
      <c r="J22" s="71">
        <f t="shared" si="3"/>
        <v>-13905.758939684529</v>
      </c>
      <c r="K22" s="73">
        <v>-68</v>
      </c>
      <c r="L22" s="73">
        <v>15</v>
      </c>
      <c r="M22" s="73">
        <v>-20</v>
      </c>
      <c r="N22" s="59">
        <f>('Свод по районам'!K22*'по детям'!$K$10+L22*'по детям'!$K$11+M22*'по детям'!$K$12)*2.2*1.25*1.25/G22</f>
        <v>-3536.0074422141465</v>
      </c>
      <c r="O22" s="73">
        <v>-31</v>
      </c>
      <c r="P22" s="73">
        <v>-21</v>
      </c>
      <c r="Q22" s="73">
        <v>-1</v>
      </c>
      <c r="R22" s="59">
        <f>(O22*'по детям'!$K$10+P22*'по детям'!$K$11+Q22*'по детям'!$K$12)*2.2*1.25*1.25/G22/12*4</f>
        <v>-827.39188798908481</v>
      </c>
      <c r="T22" s="88">
        <f t="shared" si="5"/>
        <v>100993.8</v>
      </c>
      <c r="U22" s="8">
        <f t="shared" si="4"/>
        <v>95944.1</v>
      </c>
    </row>
    <row r="23" spans="1:22" x14ac:dyDescent="0.25">
      <c r="A23" s="57" t="s">
        <v>35</v>
      </c>
      <c r="B23" s="59">
        <f>(SUMIF('по детям'!$A$18:$A$223,'Свод по районам'!A23,'по детям'!$V$18:$V$223)+SUMIF(малокомпл!$A$14:$A$237,'Свод по районам'!A23,малокомпл!$S$14:$S$237)+SUMIF(вечерние!$A$16:$A$37,'Свод по районам'!A23,вечерние!$R$16:$R$37))*12*1.302</f>
        <v>253938.43439999994</v>
      </c>
      <c r="C23" s="59">
        <f t="shared" si="0"/>
        <v>317423</v>
      </c>
      <c r="D23" s="59">
        <v>5386</v>
      </c>
      <c r="E23" s="39">
        <f t="shared" si="1"/>
        <v>8079</v>
      </c>
      <c r="F23" s="59">
        <f t="shared" si="2"/>
        <v>325502</v>
      </c>
      <c r="G23" s="64">
        <f>(SUMIF('по детям'!$A$18:$A$223,'Свод по районам'!A23,'по детям'!$AN$18:$AN$223)+SUMIF(малокомпл!$A$14:$A$237,'Свод по районам'!A23,малокомпл!$AK$14:$AK$237)+SUMIF(вечерние!$A$16:$A$28,'Свод по районам'!A23,вечерние!$AG$16:$AG$28))/(COUNTIF('по детям'!$A$18:$A$223,'Свод по районам'!A23)+COUNTIF(малокомпл!$A$14:$A$237,'Свод по районам'!A23)+COUNTIF(вечерние!$A$16:$A$28,'Свод по районам'!A23))</f>
        <v>1.5071531257293651</v>
      </c>
      <c r="H23" s="59">
        <f>(SUMIF('по детям'!$A$18:$A$223,'Свод по районам'!A23,'по детям'!$W$18:$W$223)+SUMIF(малокомпл!$A$14:$A$237,'Свод по районам'!A23,малокомпл!$T$14:$T$237)+SUMIF(вечерние!$A$16:$A$37,'Свод по районам'!A23,вечерние!$S$16:$S$37))*12*1.302*1.25+E23</f>
        <v>222696.18898878925</v>
      </c>
      <c r="I23" s="59">
        <v>214280.49999999997</v>
      </c>
      <c r="J23" s="71">
        <f t="shared" si="3"/>
        <v>8415.6889887892758</v>
      </c>
      <c r="K23" s="73">
        <v>-67</v>
      </c>
      <c r="L23" s="73">
        <v>107</v>
      </c>
      <c r="M23" s="73">
        <v>0</v>
      </c>
      <c r="N23" s="59">
        <f>('Свод по районам'!K23*'по детям'!$K$10+L23*'по детям'!$K$11+M23*'по детям'!$K$12)*1.5*1.25*1.25/G23</f>
        <v>2632.7575362189946</v>
      </c>
      <c r="O23" s="73">
        <v>-50</v>
      </c>
      <c r="P23" s="73">
        <v>25</v>
      </c>
      <c r="Q23" s="73">
        <v>21</v>
      </c>
      <c r="R23" s="59">
        <f>(O23*'по детям'!$K$10+P23*'по детям'!$K$11+Q23*'по детям'!$K$12)*1.5*1.25*1.25/G23/12*4</f>
        <v>342.43990619747836</v>
      </c>
      <c r="T23" s="88">
        <f t="shared" si="5"/>
        <v>225671.4</v>
      </c>
      <c r="U23" s="8">
        <f t="shared" si="4"/>
        <v>214387.8</v>
      </c>
    </row>
    <row r="24" spans="1:22" x14ac:dyDescent="0.25">
      <c r="A24" s="57" t="s">
        <v>36</v>
      </c>
      <c r="B24" s="59">
        <f>(SUMIF('по детям'!$A$18:$A$223,'Свод по районам'!A24,'по детям'!$V$18:$V$223)+SUMIF(малокомпл!$A$14:$A$237,'Свод по районам'!A24,малокомпл!$S$14:$S$237)+SUMIF(вечерние!$A$16:$A$37,'Свод по районам'!A24,вечерние!$R$16:$R$37))*12*1.302</f>
        <v>141773.73840000003</v>
      </c>
      <c r="C24" s="59">
        <f t="shared" si="0"/>
        <v>177217.2</v>
      </c>
      <c r="D24" s="59">
        <v>2511</v>
      </c>
      <c r="E24" s="39">
        <f t="shared" si="1"/>
        <v>3766.5</v>
      </c>
      <c r="F24" s="59">
        <f t="shared" si="2"/>
        <v>180983.7</v>
      </c>
      <c r="G24" s="64">
        <f>(SUMIF('по детям'!$A$18:$A$223,'Свод по районам'!A24,'по детям'!$AN$18:$AN$223)+SUMIF(малокомпл!$A$14:$A$237,'Свод по районам'!A24,малокомпл!$AK$14:$AK$237)+SUMIF(вечерние!$A$16:$A$28,'Свод по районам'!A24,вечерние!$AG$16:$AG$28))/(COUNTIF('по детям'!$A$18:$A$223,'Свод по районам'!A24)+COUNTIF(малокомпл!$A$14:$A$237,'Свод по районам'!A24)+COUNTIF(вечерние!$A$16:$A$28,'Свод по районам'!A24))</f>
        <v>1.5284297052154194</v>
      </c>
      <c r="H24" s="59">
        <f>(SUMIF('по детям'!$A$18:$A$223,'Свод по районам'!A24,'по детям'!$W$18:$W$223)+SUMIF(малокомпл!$A$14:$A$237,'Свод по районам'!A24,малокомпл!$T$14:$T$237)+SUMIF(вечерние!$A$16:$A$37,'Свод по районам'!A24,вечерние!$S$16:$S$37))*12*1.302*1.25+E24</f>
        <v>122307.79554137363</v>
      </c>
      <c r="I24" s="59">
        <v>147894.20000000001</v>
      </c>
      <c r="J24" s="71">
        <f t="shared" si="3"/>
        <v>-25586.404458626377</v>
      </c>
      <c r="K24" s="73">
        <v>110</v>
      </c>
      <c r="L24" s="73">
        <v>62</v>
      </c>
      <c r="M24" s="73">
        <v>-1</v>
      </c>
      <c r="N24" s="59">
        <f>('Свод по районам'!K24*'по детям'!$K$10+L24*'по детям'!$K$11+M24*'по детям'!$K$12)*1.5*1.25*1.25/G24</f>
        <v>5603.9899370398534</v>
      </c>
      <c r="O24" s="73">
        <v>87</v>
      </c>
      <c r="P24" s="73">
        <v>102</v>
      </c>
      <c r="Q24" s="73">
        <v>3</v>
      </c>
      <c r="R24" s="59">
        <f>(O24*'по детям'!$K$10+P24*'по детям'!$K$11+Q24*'по детям'!$K$12)*1.5*1.25*1.25/G24/12*4</f>
        <v>2297.4253333456968</v>
      </c>
      <c r="T24" s="88">
        <f t="shared" si="5"/>
        <v>130209.2</v>
      </c>
      <c r="U24" s="8">
        <f t="shared" si="4"/>
        <v>123698.7</v>
      </c>
    </row>
    <row r="25" spans="1:22" x14ac:dyDescent="0.25">
      <c r="A25" s="57" t="s">
        <v>37</v>
      </c>
      <c r="B25" s="59">
        <f>(SUMIF('по детям'!$A$18:$A$223,'Свод по районам'!A25,'по детям'!$V$18:$V$223)+SUMIF(малокомпл!$A$14:$A$237,'Свод по районам'!A25,малокомпл!$S$14:$S$237)+SUMIF(вечерние!$A$16:$A$37,'Свод по районам'!A25,вечерние!$R$16:$R$37))*12*1.302</f>
        <v>195264.06480000005</v>
      </c>
      <c r="C25" s="59">
        <f t="shared" si="0"/>
        <v>244080.1</v>
      </c>
      <c r="D25" s="59">
        <v>3208</v>
      </c>
      <c r="E25" s="39">
        <f t="shared" si="1"/>
        <v>4812</v>
      </c>
      <c r="F25" s="59">
        <f t="shared" si="2"/>
        <v>248892.1</v>
      </c>
      <c r="G25" s="64">
        <f>(SUMIF('по детям'!$A$18:$A$223,'Свод по районам'!A25,'по детям'!$AN$18:$AN$223)+SUMIF(малокомпл!$A$14:$A$237,'Свод по районам'!A25,малокомпл!$AK$14:$AK$237)+SUMIF(вечерние!$A$16:$A$28,'Свод по районам'!A25,вечерние!$AG$16:$AG$28))/(COUNTIF('по детям'!$A$18:$A$223,'Свод по районам'!A25)+COUNTIF(малокомпл!$A$14:$A$237,'Свод по районам'!A25)+COUNTIF(вечерние!$A$16:$A$28,'Свод по районам'!A25))</f>
        <v>1.9115891989723128</v>
      </c>
      <c r="H25" s="59">
        <f>(SUMIF('по детям'!$A$18:$A$223,'Свод по районам'!A25,'по детям'!$W$18:$W$223)+SUMIF(малокомпл!$A$14:$A$237,'Свод по районам'!A25,малокомпл!$T$14:$T$237)+SUMIF(вечерние!$A$16:$A$37,'Свод по районам'!A25,вечерние!$S$16:$S$37))*12*1.302*1.25+E25</f>
        <v>155439.13263396468</v>
      </c>
      <c r="I25" s="59">
        <v>191357.40000000002</v>
      </c>
      <c r="J25" s="71">
        <f t="shared" si="3"/>
        <v>-35918.267366035347</v>
      </c>
      <c r="K25" s="73">
        <v>29</v>
      </c>
      <c r="L25" s="73">
        <v>47</v>
      </c>
      <c r="M25" s="73">
        <v>8</v>
      </c>
      <c r="N25" s="59">
        <f>('Свод по районам'!K25*'по детям'!$K$10+L25*'по детям'!$K$11+M25*'по детям'!$K$12)*1.5*1.25*1.25/G25</f>
        <v>2635.7650496815645</v>
      </c>
      <c r="O25" s="73">
        <v>-27</v>
      </c>
      <c r="P25" s="73">
        <v>22</v>
      </c>
      <c r="Q25" s="73">
        <v>26</v>
      </c>
      <c r="R25" s="59">
        <f>(O25*'по детям'!$K$10+P25*'по детям'!$K$11+Q25*'по детям'!$K$12)*1.5*1.25*1.25/G25/12*4</f>
        <v>494.9129828776056</v>
      </c>
      <c r="T25" s="88">
        <f t="shared" si="5"/>
        <v>158569.79999999999</v>
      </c>
      <c r="U25" s="8">
        <f t="shared" si="4"/>
        <v>150641.29999999999</v>
      </c>
    </row>
    <row r="26" spans="1:22" x14ac:dyDescent="0.25">
      <c r="A26" s="57" t="s">
        <v>38</v>
      </c>
      <c r="B26" s="59">
        <f>(SUMIF('по детям'!$A$18:$A$223,'Свод по районам'!A26,'по детям'!$V$18:$V$223)+SUMIF(малокомпл!$A$14:$A$237,'Свод по районам'!A26,малокомпл!$S$14:$S$237)+SUMIF(вечерние!$A$16:$A$37,'Свод по районам'!A26,вечерние!$R$16:$R$37))*12*1.302</f>
        <v>149210.76240000001</v>
      </c>
      <c r="C26" s="59">
        <f t="shared" si="0"/>
        <v>186513.5</v>
      </c>
      <c r="D26" s="59">
        <v>2323</v>
      </c>
      <c r="E26" s="39">
        <f t="shared" si="1"/>
        <v>3484.5</v>
      </c>
      <c r="F26" s="59">
        <f t="shared" si="2"/>
        <v>189998</v>
      </c>
      <c r="G26" s="64">
        <f>(SUMIF('по детям'!$A$18:$A$223,'Свод по районам'!A26,'по детям'!$AN$18:$AN$223)+SUMIF(малокомпл!$A$14:$A$237,'Свод по районам'!A26,малокомпл!$AK$14:$AK$237)+SUMIF(вечерние!$A$16:$A$28,'Свод по районам'!A26,вечерние!$AG$16:$AG$28))/(COUNTIF('по детям'!$A$18:$A$223,'Свод по районам'!A26)+COUNTIF(малокомпл!$A$14:$A$237,'Свод по районам'!A26)+COUNTIF(вечерние!$A$16:$A$28,'Свод по районам'!A26))</f>
        <v>1.2475086652244958</v>
      </c>
      <c r="H26" s="59">
        <f>(SUMIF('по детям'!$A$18:$A$223,'Свод по районам'!A26,'по детям'!$W$18:$W$223)+SUMIF(малокомпл!$A$14:$A$237,'Свод по районам'!A26,малокомпл!$T$14:$T$237)+SUMIF(вечерние!$A$16:$A$37,'Свод по районам'!A26,вечерние!$S$16:$S$37))*12*1.302*1.25+E26</f>
        <v>147828.19228920116</v>
      </c>
      <c r="I26" s="59">
        <v>141108.39999999997</v>
      </c>
      <c r="J26" s="71">
        <f t="shared" si="3"/>
        <v>6719.7922892011993</v>
      </c>
      <c r="K26" s="73">
        <v>-34</v>
      </c>
      <c r="L26" s="73">
        <v>21</v>
      </c>
      <c r="M26" s="73">
        <v>-22</v>
      </c>
      <c r="N26" s="59">
        <f>('Свод по районам'!K26*'по детям'!$K$10+L26*'по детям'!$K$11+M26*'по детям'!$K$12)*1.5*1.25*1.25/G26</f>
        <v>-1846.0355239982023</v>
      </c>
      <c r="O26" s="73">
        <v>-45</v>
      </c>
      <c r="P26" s="73">
        <v>72</v>
      </c>
      <c r="Q26" s="73">
        <v>-5</v>
      </c>
      <c r="R26" s="59">
        <f>(O26*'по детям'!$K$10+P26*'по детям'!$K$11+Q26*'по детям'!$K$12)*1.5*1.25*1.25/G26/12*4</f>
        <v>581.4087871441568</v>
      </c>
      <c r="T26" s="88">
        <f t="shared" si="5"/>
        <v>146563.6</v>
      </c>
      <c r="U26" s="8">
        <f t="shared" si="4"/>
        <v>139235.4</v>
      </c>
    </row>
    <row r="27" spans="1:22" x14ac:dyDescent="0.25">
      <c r="A27" s="57" t="s">
        <v>275</v>
      </c>
      <c r="B27" s="59">
        <f>(SUMIF('по детям'!$A$18:$A$223,'Свод по районам'!A27,'по детям'!$V$18:$V$223)+SUMIF(малокомпл!$A$14:$A$237,'Свод по районам'!A27,малокомпл!$S$14:$S$237)+SUMIF(вечерние!$A$16:$A$37,'Свод по районам'!A27,вечерние!$R$16:$R$37))*12*1.302</f>
        <v>192067.39439999999</v>
      </c>
      <c r="C27" s="59">
        <f t="shared" si="0"/>
        <v>240084.2</v>
      </c>
      <c r="D27" s="59">
        <v>3253</v>
      </c>
      <c r="E27" s="39">
        <f t="shared" si="1"/>
        <v>4879.5</v>
      </c>
      <c r="F27" s="59">
        <f t="shared" si="2"/>
        <v>244963.7</v>
      </c>
      <c r="G27" s="64">
        <f>(SUMIF('по детям'!$A$18:$A$223,'Свод по районам'!A27,'по детям'!$AN$18:$AN$223)+SUMIF(малокомпл!$A$14:$A$237,'Свод по районам'!A27,малокомпл!$AK$14:$AK$237)+SUMIF(вечерние!$A$16:$A$28,'Свод по районам'!A27,вечерние!$AG$16:$AG$28))/(COUNTIF('по детям'!$A$18:$A$223,'Свод по районам'!A27)+COUNTIF(малокомпл!$A$14:$A$237,'Свод по районам'!A27)+COUNTIF(вечерние!$A$16:$A$28,'Свод по районам'!A27))</f>
        <v>1.4249213898679656</v>
      </c>
      <c r="H27" s="59">
        <f>(SUMIF('по детям'!$A$18:$A$223,'Свод по районам'!A27,'по детям'!$W$18:$W$223)+SUMIF(малокомпл!$A$14:$A$237,'Свод по районам'!A27,малокомпл!$T$14:$T$237)+SUMIF(вечерние!$A$16:$A$37,'Свод по районам'!A27,вечерние!$S$16:$S$37))*12*1.302*1.25+E27</f>
        <v>173694.13085597911</v>
      </c>
      <c r="I27" s="59">
        <v>173891.09999999998</v>
      </c>
      <c r="J27" s="71">
        <f t="shared" si="3"/>
        <v>-196.96914402086986</v>
      </c>
      <c r="K27" s="73">
        <v>63</v>
      </c>
      <c r="L27" s="73">
        <v>10</v>
      </c>
      <c r="M27" s="73">
        <v>-13</v>
      </c>
      <c r="N27" s="59">
        <f>('Свод по районам'!K27*'по детям'!$K$10+L27*'по детям'!$K$11+M27*'по детям'!$K$12)*2.2*1.25/G27</f>
        <v>1679.310183014185</v>
      </c>
      <c r="O27" s="73">
        <v>73</v>
      </c>
      <c r="P27" s="73">
        <v>10</v>
      </c>
      <c r="Q27" s="73">
        <v>18</v>
      </c>
      <c r="R27" s="59">
        <f>(O27*'по детям'!$K$10+P27*'по детям'!$K$11+Q27*'по детям'!$K$12)*2.2*1.25/G27/12*4</f>
        <v>1524.1372954156948</v>
      </c>
      <c r="T27" s="88">
        <f t="shared" si="5"/>
        <v>176897.6</v>
      </c>
      <c r="U27" s="8">
        <f t="shared" si="4"/>
        <v>168052.7</v>
      </c>
    </row>
    <row r="28" spans="1:22" x14ac:dyDescent="0.25">
      <c r="A28" s="57" t="s">
        <v>276</v>
      </c>
      <c r="B28" s="59">
        <f>(SUMIF('по детям'!$A$18:$A$223,'Свод по районам'!A28,'по детям'!$V$18:$V$223)+SUMIF(малокомпл!$A$14:$A$237,'Свод по районам'!A28,малокомпл!$S$14:$S$237)+SUMIF(вечерние!$A$16:$A$37,'Свод по районам'!A28,вечерние!$R$16:$R$37))*12*1.302</f>
        <v>2482398.9288000003</v>
      </c>
      <c r="C28" s="59">
        <f t="shared" si="0"/>
        <v>3102998.7</v>
      </c>
      <c r="D28" s="59">
        <v>64713</v>
      </c>
      <c r="E28" s="39">
        <f t="shared" si="1"/>
        <v>97069.5</v>
      </c>
      <c r="F28" s="59">
        <f t="shared" si="2"/>
        <v>3200068.2</v>
      </c>
      <c r="G28" s="64">
        <f>(SUMIF('по детям'!$A$18:$A$223,'Свод по районам'!A28,'по детям'!$AN$18:$AN$223)+SUMIF(малокомпл!$A$14:$A$237,'Свод по районам'!A28,малокомпл!$AK$14:$AK$237)+SUMIF(вечерние!$A$16:$A$28,'Свод по районам'!A28,вечерние!$AG$16:$AG$28))/(COUNTIF('по детям'!$A$18:$A$223,'Свод по районам'!A28)+COUNTIF(малокомпл!$A$14:$A$237,'Свод по районам'!A28)+COUNTIF(вечерние!$A$16:$A$28,'Свод по районам'!A28))</f>
        <v>1.5375864844115965</v>
      </c>
      <c r="H28" s="59">
        <f>(SUMIF('по детям'!$A$18:$A$223,'Свод по районам'!A28,'по детям'!$W$18:$W$223)+SUMIF(малокомпл!$A$14:$A$237,'Свод по районам'!A28,малокомпл!$T$14:$T$237)+SUMIF(вечерние!$A$16:$A$37,'Свод по районам'!A28,вечерние!$S$16:$S$37))*12*1.302*1.25+E28</f>
        <v>2165463.8086429364</v>
      </c>
      <c r="I28" s="59">
        <v>1913899.7999999993</v>
      </c>
      <c r="J28" s="71">
        <f t="shared" si="3"/>
        <v>251564.00864293706</v>
      </c>
      <c r="K28" s="73">
        <v>1198</v>
      </c>
      <c r="L28" s="73">
        <v>1424</v>
      </c>
      <c r="M28" s="73">
        <v>80</v>
      </c>
      <c r="N28" s="59">
        <f>('Свод по районам'!K28*'по детям'!$K$10+L28*'по детям'!$K$11+M28*'по детям'!$K$12)*1.5*1.25/G28</f>
        <v>78123.776267432724</v>
      </c>
      <c r="O28" s="73">
        <v>1320</v>
      </c>
      <c r="P28" s="73">
        <v>1154</v>
      </c>
      <c r="Q28" s="73">
        <v>258</v>
      </c>
      <c r="R28" s="59">
        <f>(O28*'по детям'!$K$10+P28*'по детям'!$K$11+Q28*'по детям'!$K$12)*1.5*1.25/G28/12*4</f>
        <v>27028.463388128468</v>
      </c>
      <c r="T28" s="88">
        <f t="shared" si="5"/>
        <v>2270616</v>
      </c>
      <c r="U28" s="8">
        <f t="shared" si="4"/>
        <v>2157085.2000000002</v>
      </c>
    </row>
    <row r="29" spans="1:22" x14ac:dyDescent="0.25">
      <c r="A29" s="57" t="s">
        <v>268</v>
      </c>
      <c r="B29" s="59">
        <f>SUM(B6:B28)</f>
        <v>6861751.4448000006</v>
      </c>
      <c r="C29" s="59">
        <f>SUM(C6:C28)</f>
        <v>8577189.1999999993</v>
      </c>
      <c r="D29" s="59">
        <f>SUM(D6:D28)</f>
        <v>140023</v>
      </c>
      <c r="E29" s="59">
        <f>SUM(E6:E28)</f>
        <v>210034.5</v>
      </c>
      <c r="F29" s="59">
        <f>SUM(F6:F28)</f>
        <v>8787223.6999999993</v>
      </c>
      <c r="G29" s="64">
        <v>1.43</v>
      </c>
      <c r="H29" s="59">
        <f t="shared" ref="H29:N29" si="6">SUM(H6:H28)</f>
        <v>6140171.7407749062</v>
      </c>
      <c r="I29" s="59">
        <f t="shared" si="6"/>
        <v>6007203.8999999985</v>
      </c>
      <c r="J29" s="59">
        <f>SUM(J6:J28)</f>
        <v>132967.84077490668</v>
      </c>
      <c r="K29" s="73">
        <f t="shared" si="6"/>
        <v>1252</v>
      </c>
      <c r="L29" s="73">
        <f t="shared" si="6"/>
        <v>3061</v>
      </c>
      <c r="M29" s="73">
        <f t="shared" si="6"/>
        <v>-104</v>
      </c>
      <c r="N29" s="59">
        <f t="shared" si="6"/>
        <v>131533.28463496955</v>
      </c>
      <c r="O29" s="73">
        <f t="shared" ref="O29:R29" si="7">SUM(O6:O28)</f>
        <v>1676</v>
      </c>
      <c r="P29" s="73">
        <f t="shared" si="7"/>
        <v>2323</v>
      </c>
      <c r="Q29" s="73">
        <f t="shared" si="7"/>
        <v>448</v>
      </c>
      <c r="R29" s="59">
        <f t="shared" si="7"/>
        <v>50036.373545101844</v>
      </c>
      <c r="T29" s="88">
        <f t="shared" si="5"/>
        <v>6321741.4000000004</v>
      </c>
      <c r="U29" s="8">
        <f>SUM(U6:U28)</f>
        <v>6005654.2999999989</v>
      </c>
    </row>
    <row r="30" spans="1:22" x14ac:dyDescent="0.25">
      <c r="M30" s="32" t="s">
        <v>501</v>
      </c>
      <c r="N30" s="54">
        <f>J29+N29+R29</f>
        <v>314537.49895497807</v>
      </c>
      <c r="T30" s="88"/>
      <c r="U30" s="88">
        <f>T29-U29</f>
        <v>316087.10000000149</v>
      </c>
      <c r="V30" s="89">
        <v>0.05</v>
      </c>
    </row>
    <row r="31" spans="1:22" x14ac:dyDescent="0.25">
      <c r="N31" s="11"/>
    </row>
    <row r="32" spans="1:22" x14ac:dyDescent="0.25">
      <c r="M32" s="32"/>
      <c r="N32" s="11"/>
    </row>
  </sheetData>
  <customSheetViews>
    <customSheetView guid="{4133D4E7-E8A6-4C76-8386-CAD92A178FB1}" scale="80" hiddenColumns="1">
      <pane xSplit="1" ySplit="5" topLeftCell="S6" activePane="bottomRight" state="frozen"/>
      <selection pane="bottomRight" activeCell="AC28" sqref="AC28"/>
      <pageMargins left="0.7" right="0.7" top="0.75" bottom="0.75" header="0.3" footer="0.3"/>
      <pageSetup paperSize="9" orientation="portrait" r:id="rId1"/>
    </customSheetView>
    <customSheetView guid="{E6CA5BE8-E4DB-45B9-BD02-6D0572E660A3}" scale="80" hiddenColumns="1">
      <selection activeCell="O7" sqref="O7"/>
      <pageMargins left="0.7" right="0.7" top="0.75" bottom="0.75" header="0.3" footer="0.3"/>
    </customSheetView>
  </customSheetViews>
  <mergeCells count="1">
    <mergeCell ref="O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детям</vt:lpstr>
      <vt:lpstr>малокомпл</vt:lpstr>
      <vt:lpstr>вечерние</vt:lpstr>
      <vt:lpstr>Свод</vt:lpstr>
      <vt:lpstr>Свод по районам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Александровна Кирикова</dc:creator>
  <cp:lastModifiedBy>Наталья Александровна Кирикова</cp:lastModifiedBy>
  <cp:lastPrinted>2020-07-20T03:41:44Z</cp:lastPrinted>
  <dcterms:created xsi:type="dcterms:W3CDTF">2006-09-16T00:00:00Z</dcterms:created>
  <dcterms:modified xsi:type="dcterms:W3CDTF">2020-10-19T08:06:43Z</dcterms:modified>
</cp:coreProperties>
</file>